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'Работы'!$9:$9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<sst xmlns="http://schemas.openxmlformats.org/spreadsheetml/2006/main" count="308" uniqueCount="203">
  <si>
    <t>Смета расходов. Список работ</t>
  </si>
  <si>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</si>
  <si>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</si>
  <si>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</si>
  <si>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</si>
  <si>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</si>
  <si>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</si>
  <si>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</si>
  <si>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</si>
  <si>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</si>
  <si>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</si>
  <si>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</si>
  <si>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</si>
  <si>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</si>
  <si>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Общ. площ.,кв.м.</t>
  </si>
  <si>
    <t>Конструктивные элементы</t>
  </si>
  <si>
    <t>Заделка на зиму вентиляционных продухов</t>
  </si>
  <si>
    <t>1 место</t>
  </si>
  <si>
    <t>Известковая окраска ранее окрашенных поверхностей</t>
  </si>
  <si>
    <t>100 м2 окрашенной поверхности</t>
  </si>
  <si>
    <t>Простая масляная окраска ранее окрашенных поверхностей</t>
  </si>
  <si>
    <t>Восстановление козырьков</t>
  </si>
  <si>
    <t>кв.м.</t>
  </si>
  <si>
    <t>Укрепление существующей подшивки потолка</t>
  </si>
  <si>
    <t>100 м2 подшивки</t>
  </si>
  <si>
    <t>Ремонт дощатых полов</t>
  </si>
  <si>
    <t>100 кв.м.</t>
  </si>
  <si>
    <t>Смена досок в полах</t>
  </si>
  <si>
    <t>п.м. доски</t>
  </si>
  <si>
    <t>Заделка  щелей, швов и стыков в перегородках</t>
  </si>
  <si>
    <t>100 м трещин</t>
  </si>
  <si>
    <t>Окраска перегородок известковыми составами</t>
  </si>
  <si>
    <t>Постановка заплат на покрытия из кровельной стали, при размере заплат 1/4 листа</t>
  </si>
  <si>
    <t>100 заплат</t>
  </si>
  <si>
    <t>Восстановление тепловой изоляции дверей</t>
  </si>
  <si>
    <t>100 дверей</t>
  </si>
  <si>
    <t>Утепление покрытий плитами из минеральной ваты или перлита на битумной мастике в один слой толщиной 10 см</t>
  </si>
  <si>
    <t>100 кв.м утепляемой поверхности</t>
  </si>
  <si>
    <t>Простая масляная окраска дверей</t>
  </si>
  <si>
    <t>Смена прямых  частей поручней</t>
  </si>
  <si>
    <t>100 м</t>
  </si>
  <si>
    <t>Изготовление прямых частей  поручня</t>
  </si>
  <si>
    <t>Промазка трещин в кладке печи</t>
  </si>
  <si>
    <t>100 печей</t>
  </si>
  <si>
    <t>Ремонт разделок трубы в один канал</t>
  </si>
  <si>
    <t>100 разделок</t>
  </si>
  <si>
    <t>Итого по разделу:</t>
  </si>
  <si>
    <t>Внутридомовое инженерное оборудование и технические устройства</t>
  </si>
  <si>
    <t>Смена стекол на штапиках без замазки</t>
  </si>
  <si>
    <t>100 м фальца</t>
  </si>
  <si>
    <t>Утепление и прочистка дымовентиляционных каналов</t>
  </si>
  <si>
    <t>1000 кв.м. общей площади</t>
  </si>
  <si>
    <t>Осмотр территории вокруг здания и фундамента</t>
  </si>
  <si>
    <t>Осмотр деревянных стен, перегородок</t>
  </si>
  <si>
    <t>Осмотр внутренней отделки стен</t>
  </si>
  <si>
    <t>Осмотр заполнения дверных и оконных проемов</t>
  </si>
  <si>
    <t>Осмотр всех элементов стальных кровель, водостоков</t>
  </si>
  <si>
    <t>1000 кв.м. кровли</t>
  </si>
  <si>
    <t>Проверка наличия тяги в  дымовентиляционных каналах</t>
  </si>
  <si>
    <t>Устранение аварии на внутридомовых инженерных сетях при сроке эксплуатации многоквартирного дома более 70 лет</t>
  </si>
  <si>
    <t>1000 м2  общей площади жилых помещений, оборудованных газовыми плитами (в год для одной смены)</t>
  </si>
  <si>
    <t>Санитарное содержание мест общего пользования, благоустройство придомовой территории и прочие работы</t>
  </si>
  <si>
    <t>Подметание лестничных площадок и маршей нижних трех этажей с предварительным их увлажнением (в доме без лифтов и мусоропровода)</t>
  </si>
  <si>
    <t>100 м2 убираемой  площади</t>
  </si>
  <si>
    <t>Мытье  лестничных площадок и маршей нижних трех этажей (в доме без лифтов и мусоропровода)</t>
  </si>
  <si>
    <t>100 м2  убираемой  площади</t>
  </si>
  <si>
    <t>Сдвижка и подметание снега при отсутствии снегопада на придомовой территории без покрытия 3 класса</t>
  </si>
  <si>
    <t>10 000 кв.м. территории</t>
  </si>
  <si>
    <t>Сдвижка и подметание снега при снегопаде на придомовой территории без покрытия 3 класса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</si>
  <si>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</si>
  <si>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</si>
  <si>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</si>
  <si>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</si>
  <si>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</si>
  <si>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</si>
  <si>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</si>
  <si>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</si>
  <si>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</si>
  <si>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</si>
  <si>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</si>
  <si>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</si>
  <si>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</si>
  <si>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</si>
  <si>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Дворник 1 разряда</t>
  </si>
  <si>
    <t>чел.-час</t>
  </si>
  <si>
    <t>Изолировщик на гидроизоляции 3.9 разряда</t>
  </si>
  <si>
    <t>Изолировщик на термоизоляции 3 разряда</t>
  </si>
  <si>
    <t>Изолировщик на термоизоляции 4 разряда</t>
  </si>
  <si>
    <t>Каменщик 3 разряда</t>
  </si>
  <si>
    <t>Кровельщик по стальным кровлям 3 разряда</t>
  </si>
  <si>
    <t>Кровельщик по стальным кровлям 4 разряда</t>
  </si>
  <si>
    <t>Маляр 2 разряда</t>
  </si>
  <si>
    <t>Маляр 3 разряда</t>
  </si>
  <si>
    <t>Маляр 4 разряда</t>
  </si>
  <si>
    <t>Печник 2 разряда</t>
  </si>
  <si>
    <t>Печник 3 разряда</t>
  </si>
  <si>
    <t>Плотник 2 разряда</t>
  </si>
  <si>
    <t>Плотник 3 разряда</t>
  </si>
  <si>
    <t>Плотник 4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</si>
  <si>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</si>
  <si>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</si>
  <si>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</si>
  <si>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</si>
  <si>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4 разряда</t>
  </si>
  <si>
    <t>Стекольщик 2 разряда</t>
  </si>
  <si>
    <t>Стекольщик 3 разряда</t>
  </si>
  <si>
    <t>Столяр строительный 3 разряда</t>
  </si>
  <si>
    <t>Столяр строительный 4 разряда</t>
  </si>
  <si>
    <t>Чистильщик дымоходов, боровок и топок 4 разряда</t>
  </si>
  <si>
    <t>Штукатур 3 разряда</t>
  </si>
  <si>
    <t>Штукатур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</si>
  <si>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</si>
  <si>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</si>
  <si>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</si>
  <si>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</si>
  <si>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</si>
  <si>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Белила</t>
  </si>
  <si>
    <t>т</t>
  </si>
  <si>
    <t>Битумы нефтяные строительные кровельные марки БНК-45/190, БНК-40/180</t>
  </si>
  <si>
    <t>Бруски обрезные хвойных пород длиной 2 - 6,5 м, толщиной 40 - 60 мм II сорта</t>
  </si>
  <si>
    <t>м3</t>
  </si>
  <si>
    <t>Ветошь</t>
  </si>
  <si>
    <t>кг</t>
  </si>
  <si>
    <t>Вода водопроводная</t>
  </si>
  <si>
    <t>Войлок строительный</t>
  </si>
  <si>
    <t>Войлок строительный толщиной 15 мм</t>
  </si>
  <si>
    <t>м2</t>
  </si>
  <si>
    <t>Гвозди кровельные оцинкованные</t>
  </si>
  <si>
    <t>Гвозди строительные</t>
  </si>
  <si>
    <t>Гипсовые вяжущие Г-3</t>
  </si>
  <si>
    <t xml:space="preserve">Глина  </t>
  </si>
  <si>
    <t xml:space="preserve">Глина огнеупорная </t>
  </si>
  <si>
    <t>Готовый поручень</t>
  </si>
  <si>
    <t>пог. м</t>
  </si>
  <si>
    <t>Доски необрезные длиной 4 - 6,5 м, все ширины, толщиной 44 мм и более мм III сорта</t>
  </si>
  <si>
    <t>Доски необрезные длиной 4-6,5 м, все ширины, толщиной 32 - 40 мм III сорта</t>
  </si>
  <si>
    <t>Доски обрезные длиной 4 - 6,5 м, шириной 75 - 150 мм, толщиной 44 мм и более II сорта</t>
  </si>
  <si>
    <t>Доски половые со шпунтом и гребнем из древесины антисептированные тип ДП-27, толщиной 27 мм, шириной без гребня от 100 до 140 мм</t>
  </si>
  <si>
    <t>Известь строительная негашеная комовая, сорт I</t>
  </si>
  <si>
    <t>Изделия резиновые технические морозостойкие</t>
  </si>
  <si>
    <t xml:space="preserve">Керосин для технических целей марок КТ-1, КТ-2 </t>
  </si>
  <si>
    <t xml:space="preserve">Кирпич глиняный для дымовых труб, размером 250х120х65 мм,марка 150 </t>
  </si>
  <si>
    <t>1000 шт.</t>
  </si>
  <si>
    <t>Кирпич керамический одинарный,  размером 250х120х65 мм, марка   50</t>
  </si>
  <si>
    <t>Клей казеиновый</t>
  </si>
  <si>
    <t xml:space="preserve">Колер масляный </t>
  </si>
  <si>
    <t>Краски масляные и алкидные густотертые: цинковые МА-011-2</t>
  </si>
  <si>
    <t>Краски сухие для внутренних работ</t>
  </si>
  <si>
    <t>Купорос медный марки А</t>
  </si>
  <si>
    <t>Мастика битумная кровельная горячая</t>
  </si>
  <si>
    <t>Мел природный молотый</t>
  </si>
  <si>
    <t>Металлоконструкции кронштейнов</t>
  </si>
  <si>
    <t>Моющее средство</t>
  </si>
  <si>
    <t>Мыло</t>
  </si>
  <si>
    <t xml:space="preserve">Натрий фтористый технический, марка А, сорт I              </t>
  </si>
  <si>
    <t>Олифа комбинированная К-2</t>
  </si>
  <si>
    <t>Олифа комбинированная К-3</t>
  </si>
  <si>
    <t>Олифа натуральная</t>
  </si>
  <si>
    <t>Пакля пропитанная</t>
  </si>
  <si>
    <t>Паста меловая ПМ-1</t>
  </si>
  <si>
    <t>Пемза шлаковая (щебень пористый из металлургического шлака), марка 600,фракция от 5 до 10 мм</t>
  </si>
  <si>
    <t xml:space="preserve">Песок природный для строительных работ средний </t>
  </si>
  <si>
    <t>Пигмент тертый</t>
  </si>
  <si>
    <t>Плиты теплоизоляционные</t>
  </si>
  <si>
    <t>Проволока стальная низкоуглеродистая разного  назначения оцинкованная диаметром 1,1 мм</t>
  </si>
  <si>
    <t>Раствор готовый кладочный цементно-известковый М50</t>
  </si>
  <si>
    <t>Самоклеющийся уплотнитель с профилем типа D, О</t>
  </si>
  <si>
    <t>м</t>
  </si>
  <si>
    <t>Сиккатив жирно-кислотный ЖК-1</t>
  </si>
  <si>
    <t>Скипидар живичный</t>
  </si>
  <si>
    <t xml:space="preserve">Сталь листовая кровельная черная толщиной 0,7 мм </t>
  </si>
  <si>
    <t>Стекло листовое площадью до 1.0 м2, 1 группы, толщиной 3 мм марки М1</t>
  </si>
  <si>
    <t>Сурик железный тертый</t>
  </si>
  <si>
    <t>Ткань мешочная</t>
  </si>
  <si>
    <t>10 м2</t>
  </si>
  <si>
    <t>Ткань стеклянная конструкционная Т-11, Т-11п</t>
  </si>
  <si>
    <t>1000 м2</t>
  </si>
  <si>
    <t>Шкурка шлифовальная двухслойная с зернистостью 40-25</t>
  </si>
  <si>
    <t>Шпагат бумажный влагопрочный одножильный 3,7 мм</t>
  </si>
  <si>
    <t>Шпатлевка клеевая</t>
  </si>
  <si>
    <t>Шпатлевка масляно-клеевая</t>
  </si>
  <si>
    <t>Штапики</t>
  </si>
  <si>
    <t>Шурупы с полукруглой головкой 3,5 x 35 мм</t>
  </si>
  <si>
    <t>Специнвентарь</t>
  </si>
  <si>
    <t>Ведро  оцинкованное</t>
  </si>
  <si>
    <t>шт.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</si>
  <si>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</si>
  <si>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</si>
  <si>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</si>
  <si>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</si>
  <si>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</si>
  <si>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</si>
  <si>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</si>
  <si>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</si>
  <si>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Щетка д/пола 280 мм с черенком на резьбе 1,2 м.</t>
  </si>
  <si>
    <t>Машины/Механизмы</t>
  </si>
  <si>
    <t xml:space="preserve">Котлы битумные передвижные 400 л
</t>
  </si>
  <si>
    <t>маш.-час</t>
  </si>
  <si>
    <t>Краны на автомобильном ходу при работе на других видах строительства 10 т</t>
  </si>
  <si>
    <t>Подъемники мачтовые</t>
  </si>
  <si>
    <t>маш.-час.</t>
  </si>
  <si>
    <t>1.3.</t>
  </si>
  <si>
    <t>Приложение 3 к постановлению администрации Красновишерского городского округа от         №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</si>
</sst>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9"/>
      <name val="Arial"/>
      <family val="0"/>
    </font>
    <font>
      <b/>
      <sz val="9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6" fillId="35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/>
      <protection/>
    </xf>
    <xf numFmtId="4" fontId="12" fillId="0" borderId="28" xfId="0" applyNumberFormat="1" applyFont="1" applyFill="1" applyBorder="1" applyAlignment="1" applyProtection="1">
      <alignment horizontal="right" vertical="center" wrapText="1"/>
      <protection/>
    </xf>
    <xf numFmtId="4" fontId="12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 applyProtection="1">
      <alignment horizontal="right" vertical="center" wrapText="1"/>
      <protection/>
    </xf>
    <xf numFmtId="4" fontId="13" fillId="0" borderId="31" xfId="0" applyNumberFormat="1" applyFont="1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49" fontId="3" fillId="0" borderId="3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7" borderId="33" xfId="0" applyFont="1" applyFill="1" applyBorder="1" applyAlignment="1" applyProtection="1">
      <alignment horizontal="left" vertical="center" wrapText="1"/>
      <protection/>
    </xf>
    <xf numFmtId="0" fontId="5" fillId="37" borderId="34" xfId="0" applyFont="1" applyFill="1" applyBorder="1" applyAlignment="1" applyProtection="1">
      <alignment horizontal="left" vertical="center" wrapText="1"/>
      <protection/>
    </xf>
    <xf numFmtId="4" fontId="5" fillId="37" borderId="34" xfId="0" applyNumberFormat="1" applyFont="1" applyFill="1" applyBorder="1" applyAlignment="1" applyProtection="1">
      <alignment horizontal="left" vertical="center" wrapText="1"/>
      <protection/>
    </xf>
    <xf numFmtId="4" fontId="5" fillId="37" borderId="35" xfId="0" applyNumberFormat="1" applyFont="1" applyFill="1" applyBorder="1" applyAlignment="1" applyProtection="1">
      <alignment horizontal="left" vertical="center" wrapText="1"/>
      <protection/>
    </xf>
    <xf numFmtId="0" fontId="6" fillId="34" borderId="36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5" borderId="37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3" fillId="0" borderId="38" xfId="0" applyFont="1" applyFill="1" applyBorder="1" applyAlignment="1" applyProtection="1">
      <alignment horizontal="left" vertical="center" wrapText="1"/>
      <protection/>
    </xf>
    <xf numFmtId="0" fontId="13" fillId="0" borderId="39" xfId="0" applyFont="1" applyFill="1" applyBorder="1" applyAlignment="1" applyProtection="1">
      <alignment horizontal="left" vertical="center" wrapText="1"/>
      <protection/>
    </xf>
    <xf numFmtId="4" fontId="13" fillId="0" borderId="39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0000B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5"/>
  <sheetViews>
    <sheetView tabSelected="1" workbookViewId="0" topLeftCell="D1">
      <selection activeCell="O9" sqref="O9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4" width="15.00390625" style="0" customWidth="1"/>
  </cols>
  <sheetData>
    <row r="2" spans="13:14" ht="12">
      <c r="M2" s="51" t="s">
        <v>202</v>
      </c>
      <c r="N2" s="51"/>
    </row>
    <row r="3" spans="13:14" ht="12">
      <c r="M3" s="51"/>
      <c r="N3" s="51"/>
    </row>
    <row r="4" spans="13:14" ht="12">
      <c r="M4" s="51"/>
      <c r="N4" s="51"/>
    </row>
    <row r="5" spans="13:14" ht="12">
      <c r="M5" s="51"/>
      <c r="N5" s="51"/>
    </row>
    <row r="6" spans="13:14" ht="12">
      <c r="M6" s="51"/>
      <c r="N6" s="51"/>
    </row>
    <row r="7" spans="2:14" ht="23.25">
      <c r="B7" s="37" t="s">
        <v>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1"/>
    </row>
    <row r="9" spans="2:14" ht="54.75" customHeight="1">
      <c r="B9" s="2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4" t="s">
        <v>13</v>
      </c>
    </row>
    <row r="10" spans="2:14" ht="24.75" customHeight="1">
      <c r="B10" s="38" t="s">
        <v>201</v>
      </c>
      <c r="C10" s="39"/>
      <c r="D10" s="39"/>
      <c r="E10" s="39"/>
      <c r="F10" s="39"/>
      <c r="G10" s="39"/>
      <c r="H10" s="39"/>
      <c r="I10" s="39"/>
      <c r="J10" s="39"/>
      <c r="K10" s="39"/>
      <c r="L10" s="40" t="s">
        <v>14</v>
      </c>
      <c r="M10" s="40"/>
      <c r="N10" s="16">
        <v>7536</v>
      </c>
    </row>
    <row r="11" spans="2:14" ht="21.75" customHeight="1">
      <c r="B11" s="41" t="s">
        <v>15</v>
      </c>
      <c r="C11" s="42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4"/>
    </row>
    <row r="12" spans="2:14" ht="12">
      <c r="B12" s="8">
        <v>1</v>
      </c>
      <c r="C12" s="6" t="s">
        <v>16</v>
      </c>
      <c r="D12" s="6" t="s">
        <v>17</v>
      </c>
      <c r="E12" s="10">
        <v>1</v>
      </c>
      <c r="F12" s="10">
        <v>1</v>
      </c>
      <c r="G12" s="13">
        <f>75.0772*E12*F12</f>
        <v>75.0772</v>
      </c>
      <c r="H12" s="13">
        <f>75.3672292*E12*F12</f>
        <v>75.3672292</v>
      </c>
      <c r="I12" s="13">
        <f aca="true" t="shared" si="0" ref="I12:I22">0*E12*F12</f>
        <v>0</v>
      </c>
      <c r="J12" s="13">
        <f>91.7443384*E12*F12</f>
        <v>91.7443384</v>
      </c>
      <c r="K12" s="13">
        <f>25.429820598*E12*F12</f>
        <v>25.429820598</v>
      </c>
      <c r="L12" s="13">
        <f>15.01544*E12*F12</f>
        <v>15.01544</v>
      </c>
      <c r="M12" s="13">
        <f aca="true" t="shared" si="1" ref="M12:M28">SUM(G12:L12)</f>
        <v>282.634028198</v>
      </c>
      <c r="N12" s="17">
        <f>IF(N10&gt;0,(M12/$N$10/12),0)</f>
        <v>0.0031253762849212667</v>
      </c>
    </row>
    <row r="13" spans="2:14" ht="24">
      <c r="B13" s="9">
        <v>2</v>
      </c>
      <c r="C13" s="7" t="s">
        <v>18</v>
      </c>
      <c r="D13" s="7" t="s">
        <v>19</v>
      </c>
      <c r="E13" s="11">
        <v>1</v>
      </c>
      <c r="F13" s="11">
        <v>1</v>
      </c>
      <c r="G13" s="14">
        <f>2172.95*E13*F13</f>
        <v>2172.95</v>
      </c>
      <c r="H13" s="14">
        <f>365.75616665*E13*F13</f>
        <v>365.75616665</v>
      </c>
      <c r="I13" s="14">
        <f t="shared" si="0"/>
        <v>0</v>
      </c>
      <c r="J13" s="14">
        <f>2655.3449*E13*F13</f>
        <v>2655.3449</v>
      </c>
      <c r="K13" s="14">
        <f>545.37536199825*E13*F13</f>
        <v>545.37536199825</v>
      </c>
      <c r="L13" s="14">
        <f>434.59*E13*F13</f>
        <v>434.59</v>
      </c>
      <c r="M13" s="14">
        <f t="shared" si="1"/>
        <v>6174.0164286482495</v>
      </c>
      <c r="N13" s="18">
        <f>IF(N10&gt;0,(M13/$N$10/12),0)</f>
        <v>0.06827247466215774</v>
      </c>
    </row>
    <row r="14" spans="2:14" ht="24">
      <c r="B14" s="9">
        <v>3</v>
      </c>
      <c r="C14" s="7" t="s">
        <v>20</v>
      </c>
      <c r="D14" s="7" t="s">
        <v>19</v>
      </c>
      <c r="E14" s="11">
        <v>1</v>
      </c>
      <c r="F14" s="11">
        <v>1</v>
      </c>
      <c r="G14" s="14">
        <f>7354.6*E14*F14</f>
        <v>7354.6</v>
      </c>
      <c r="H14" s="14">
        <f>1954.956554576*E14*F14</f>
        <v>1954.956554576</v>
      </c>
      <c r="I14" s="14">
        <f t="shared" si="0"/>
        <v>0</v>
      </c>
      <c r="J14" s="14">
        <f>8987.3212*E14*F14</f>
        <v>8987.3212</v>
      </c>
      <c r="K14" s="14">
        <f>1921.1721642305*E14*F14</f>
        <v>1921.1721642305</v>
      </c>
      <c r="L14" s="14">
        <f>1470.92*E14*F14</f>
        <v>1470.92</v>
      </c>
      <c r="M14" s="14">
        <f t="shared" si="1"/>
        <v>21688.9699188065</v>
      </c>
      <c r="N14" s="18">
        <f>IF(N10&gt;0,(M14/$N$10/12),0)</f>
        <v>0.23983733544327782</v>
      </c>
    </row>
    <row r="15" spans="2:14" ht="12">
      <c r="B15" s="9">
        <v>4</v>
      </c>
      <c r="C15" s="7" t="s">
        <v>21</v>
      </c>
      <c r="D15" s="7" t="s">
        <v>22</v>
      </c>
      <c r="E15" s="11">
        <v>1</v>
      </c>
      <c r="F15" s="11">
        <v>1</v>
      </c>
      <c r="G15" s="14">
        <f>641.5688*E15*F15</f>
        <v>641.5688</v>
      </c>
      <c r="H15" s="14">
        <f>536.124228771*E15*F15</f>
        <v>536.124228771</v>
      </c>
      <c r="I15" s="14">
        <f t="shared" si="0"/>
        <v>0</v>
      </c>
      <c r="J15" s="14">
        <f>783.9970736*E15*F15</f>
        <v>783.9970736</v>
      </c>
      <c r="K15" s="14">
        <f>205.97746074895*E15*F15</f>
        <v>205.97746074895</v>
      </c>
      <c r="L15" s="14">
        <f>128.31376*E15*F15</f>
        <v>128.31376</v>
      </c>
      <c r="M15" s="14">
        <f t="shared" si="1"/>
        <v>2295.98132311995</v>
      </c>
      <c r="N15" s="18">
        <f>IF(N10&gt;0,(M15/$N$10/12),0)</f>
        <v>0.02538903621638303</v>
      </c>
    </row>
    <row r="16" spans="2:14" ht="12">
      <c r="B16" s="9">
        <v>5</v>
      </c>
      <c r="C16" s="7" t="s">
        <v>23</v>
      </c>
      <c r="D16" s="7" t="s">
        <v>24</v>
      </c>
      <c r="E16" s="11">
        <v>1</v>
      </c>
      <c r="F16" s="11">
        <v>1</v>
      </c>
      <c r="G16" s="14">
        <f>2866.584*E16*F16</f>
        <v>2866.584</v>
      </c>
      <c r="H16" s="14">
        <f>1620.7711235*E16*F16</f>
        <v>1620.7711235</v>
      </c>
      <c r="I16" s="14">
        <f t="shared" si="0"/>
        <v>0</v>
      </c>
      <c r="J16" s="14">
        <f>3502.965648*E16*F16</f>
        <v>3502.965648</v>
      </c>
      <c r="K16" s="14">
        <f>838.9836810075*E16*F16</f>
        <v>838.9836810075</v>
      </c>
      <c r="L16" s="14">
        <f>573.3168*E16*F16</f>
        <v>573.3168</v>
      </c>
      <c r="M16" s="14">
        <f t="shared" si="1"/>
        <v>9402.621252507499</v>
      </c>
      <c r="N16" s="18">
        <f>IF(N10&gt;0,(M16/$N$10/12),0)</f>
        <v>0.10397449191113212</v>
      </c>
    </row>
    <row r="17" spans="2:14" ht="12">
      <c r="B17" s="9">
        <v>6</v>
      </c>
      <c r="C17" s="7" t="s">
        <v>25</v>
      </c>
      <c r="D17" s="7" t="s">
        <v>26</v>
      </c>
      <c r="E17" s="11">
        <v>1</v>
      </c>
      <c r="F17" s="11">
        <v>1</v>
      </c>
      <c r="G17" s="14">
        <f>12529.13262*E17*F17</f>
        <v>12529.13262</v>
      </c>
      <c r="H17" s="14">
        <f>3064.03484717*E17*F17</f>
        <v>3064.03484717</v>
      </c>
      <c r="I17" s="14">
        <f t="shared" si="0"/>
        <v>0</v>
      </c>
      <c r="J17" s="14">
        <f>15310.60006164*E17*F17</f>
        <v>15310.60006164</v>
      </c>
      <c r="K17" s="14">
        <f>3244.895590525*E17*F17</f>
        <v>3244.895590525</v>
      </c>
      <c r="L17" s="14">
        <f>2505.826524*E17*F17</f>
        <v>2505.826524</v>
      </c>
      <c r="M17" s="14">
        <f t="shared" si="1"/>
        <v>36654.48964333499</v>
      </c>
      <c r="N17" s="18">
        <f>IF(N10&gt;0,(M17/$N$10/12),0)</f>
        <v>0.4053265397573314</v>
      </c>
    </row>
    <row r="18" spans="2:14" ht="12">
      <c r="B18" s="9">
        <v>7</v>
      </c>
      <c r="C18" s="7" t="s">
        <v>27</v>
      </c>
      <c r="D18" s="7" t="s">
        <v>28</v>
      </c>
      <c r="E18" s="11">
        <v>1</v>
      </c>
      <c r="F18" s="11">
        <v>1</v>
      </c>
      <c r="G18" s="14">
        <f>102.378*E18*F18</f>
        <v>102.378</v>
      </c>
      <c r="H18" s="14">
        <f>54.6093366191*E18*F18</f>
        <v>54.6093366191</v>
      </c>
      <c r="I18" s="14">
        <f t="shared" si="0"/>
        <v>0</v>
      </c>
      <c r="J18" s="14">
        <f>125.105916*E18*F18</f>
        <v>125.105916</v>
      </c>
      <c r="K18" s="14">
        <f>29.619791525005*E18*F18</f>
        <v>29.619791525005</v>
      </c>
      <c r="L18" s="14">
        <f>20.4756*E18*F18</f>
        <v>20.4756</v>
      </c>
      <c r="M18" s="14">
        <f t="shared" si="1"/>
        <v>332.18864414410496</v>
      </c>
      <c r="N18" s="18">
        <f>IF(N10&gt;0,(M18/$N$10/12),0)</f>
        <v>0.0036733528412962774</v>
      </c>
    </row>
    <row r="19" spans="2:14" ht="12">
      <c r="B19" s="9">
        <v>8</v>
      </c>
      <c r="C19" s="7" t="s">
        <v>29</v>
      </c>
      <c r="D19" s="7" t="s">
        <v>30</v>
      </c>
      <c r="E19" s="11">
        <v>1</v>
      </c>
      <c r="F19" s="11">
        <v>1</v>
      </c>
      <c r="G19" s="14">
        <f>5733.168*E19*F19</f>
        <v>5733.168</v>
      </c>
      <c r="H19" s="14">
        <f>4663.079392*E19*F19</f>
        <v>4663.079392</v>
      </c>
      <c r="I19" s="14">
        <f t="shared" si="0"/>
        <v>0</v>
      </c>
      <c r="J19" s="14">
        <f>7005.931296*E19*F19</f>
        <v>7005.931296</v>
      </c>
      <c r="K19" s="14">
        <f>1827.22876224*E19*F19</f>
        <v>1827.22876224</v>
      </c>
      <c r="L19" s="14">
        <f>1146.6336*E19*F19</f>
        <v>1146.6336</v>
      </c>
      <c r="M19" s="14">
        <f t="shared" si="1"/>
        <v>20376.04105024</v>
      </c>
      <c r="N19" s="18">
        <f>IF(N10&gt;0,(M19/$N$10/12),0)</f>
        <v>0.2253189252724699</v>
      </c>
    </row>
    <row r="20" spans="2:14" ht="12">
      <c r="B20" s="9">
        <v>9</v>
      </c>
      <c r="C20" s="7" t="s">
        <v>31</v>
      </c>
      <c r="D20" s="7" t="s">
        <v>26</v>
      </c>
      <c r="E20" s="11">
        <v>1</v>
      </c>
      <c r="F20" s="11">
        <v>1</v>
      </c>
      <c r="G20" s="14">
        <f>2390.245*E20*F20</f>
        <v>2390.245</v>
      </c>
      <c r="H20" s="14">
        <f>201.41174296*E20*F20</f>
        <v>201.41174296</v>
      </c>
      <c r="I20" s="14">
        <f t="shared" si="0"/>
        <v>0</v>
      </c>
      <c r="J20" s="14">
        <f>2920.87939*E20*F20</f>
        <v>2920.87939</v>
      </c>
      <c r="K20" s="14">
        <f>578.8162939608*E20*F20</f>
        <v>578.8162939608</v>
      </c>
      <c r="L20" s="14">
        <f>478.049*E20*F20</f>
        <v>478.049</v>
      </c>
      <c r="M20" s="14">
        <f t="shared" si="1"/>
        <v>6569.4014269208</v>
      </c>
      <c r="N20" s="18">
        <f>IF(N10&gt;0,(M20/$N$10/12),0)</f>
        <v>0.07264465484475406</v>
      </c>
    </row>
    <row r="21" spans="2:14" ht="24">
      <c r="B21" s="9">
        <v>10</v>
      </c>
      <c r="C21" s="7" t="s">
        <v>32</v>
      </c>
      <c r="D21" s="7" t="s">
        <v>33</v>
      </c>
      <c r="E21" s="11">
        <v>1</v>
      </c>
      <c r="F21" s="11">
        <v>1</v>
      </c>
      <c r="G21" s="14">
        <f>9214.02*E21*F21</f>
        <v>9214.02</v>
      </c>
      <c r="H21" s="14">
        <f>3810.156406015*E21*F21</f>
        <v>3810.156406015</v>
      </c>
      <c r="I21" s="14">
        <f t="shared" si="0"/>
        <v>0</v>
      </c>
      <c r="J21" s="14">
        <f>11259.53244*E21*F21</f>
        <v>11259.53244</v>
      </c>
      <c r="K21" s="14">
        <f>2549.7894288316*E21*F21</f>
        <v>2549.7894288316</v>
      </c>
      <c r="L21" s="14">
        <f>1842.804*E21*F21</f>
        <v>1842.804</v>
      </c>
      <c r="M21" s="14">
        <f t="shared" si="1"/>
        <v>28676.3022748466</v>
      </c>
      <c r="N21" s="18">
        <f>IF(N10&gt;0,(M21/$N$10/12),0)</f>
        <v>0.3171034841079109</v>
      </c>
    </row>
    <row r="22" spans="2:14" ht="12">
      <c r="B22" s="9">
        <v>11</v>
      </c>
      <c r="C22" s="7" t="s">
        <v>34</v>
      </c>
      <c r="D22" s="7" t="s">
        <v>35</v>
      </c>
      <c r="E22" s="11">
        <v>1</v>
      </c>
      <c r="F22" s="11">
        <v>1</v>
      </c>
      <c r="G22" s="14">
        <f>8531.5*E22*F22</f>
        <v>8531.5</v>
      </c>
      <c r="H22" s="14">
        <f>6274.144*E22*F22</f>
        <v>6274.144</v>
      </c>
      <c r="I22" s="14">
        <f t="shared" si="0"/>
        <v>0</v>
      </c>
      <c r="J22" s="14">
        <f>10425.493*E22*F22</f>
        <v>10425.493</v>
      </c>
      <c r="K22" s="14">
        <f>2649.269385*E22*F22</f>
        <v>2649.269385</v>
      </c>
      <c r="L22" s="14">
        <f>1706.3*E22*F22</f>
        <v>1706.3</v>
      </c>
      <c r="M22" s="14">
        <f t="shared" si="1"/>
        <v>29586.706385</v>
      </c>
      <c r="N22" s="18">
        <f>IF(N10&gt;0,(M22/$N$10/12),0)</f>
        <v>0.3271707623960545</v>
      </c>
    </row>
    <row r="23" spans="2:14" ht="36">
      <c r="B23" s="9">
        <v>12</v>
      </c>
      <c r="C23" s="7" t="s">
        <v>36</v>
      </c>
      <c r="D23" s="7" t="s">
        <v>37</v>
      </c>
      <c r="E23" s="11">
        <v>1</v>
      </c>
      <c r="F23" s="11">
        <v>1</v>
      </c>
      <c r="G23" s="14">
        <f>10784.208996*E23*F23</f>
        <v>10784.208996</v>
      </c>
      <c r="H23" s="14">
        <f>21953.3802037*E23*F23</f>
        <v>21953.3802037</v>
      </c>
      <c r="I23" s="14">
        <f>736.59716*E23*F23</f>
        <v>736.59716</v>
      </c>
      <c r="J23" s="14">
        <f>13404.241368232*E23*F23</f>
        <v>13404.241368232</v>
      </c>
      <c r="K23" s="14">
        <f>4922.2349114329*E23*F23</f>
        <v>4922.2349114329</v>
      </c>
      <c r="L23" s="14">
        <f>2193.8201912*E23*F23</f>
        <v>2193.8201912</v>
      </c>
      <c r="M23" s="14">
        <f t="shared" si="1"/>
        <v>53994.48283056489</v>
      </c>
      <c r="N23" s="18">
        <f>IF(N10&gt;0,(M23/$N$10/12),0)</f>
        <v>0.5970727489225595</v>
      </c>
    </row>
    <row r="24" spans="2:14" ht="12">
      <c r="B24" s="9">
        <v>13</v>
      </c>
      <c r="C24" s="7" t="s">
        <v>38</v>
      </c>
      <c r="D24" s="7" t="s">
        <v>26</v>
      </c>
      <c r="E24" s="11">
        <v>1</v>
      </c>
      <c r="F24" s="11">
        <v>1</v>
      </c>
      <c r="G24" s="14">
        <f>8858.95*E24*F24</f>
        <v>8858.95</v>
      </c>
      <c r="H24" s="14">
        <f>2605.532392896*E24*F24</f>
        <v>2605.532392896</v>
      </c>
      <c r="I24" s="14">
        <f>0*E24*F24</f>
        <v>0</v>
      </c>
      <c r="J24" s="14">
        <f>10825.6369*E24*F24</f>
        <v>10825.6369</v>
      </c>
      <c r="K24" s="14">
        <f>2340.4625257541*E24*F24</f>
        <v>2340.4625257541</v>
      </c>
      <c r="L24" s="14">
        <f>1771.79*E24*F24</f>
        <v>1771.79</v>
      </c>
      <c r="M24" s="14">
        <f t="shared" si="1"/>
        <v>26402.371818650103</v>
      </c>
      <c r="N24" s="18">
        <f>IF(N10&gt;0,(M24/$N$10/12),0)</f>
        <v>0.29195828709583005</v>
      </c>
    </row>
    <row r="25" spans="2:14" ht="12">
      <c r="B25" s="9">
        <v>14</v>
      </c>
      <c r="C25" s="7" t="s">
        <v>39</v>
      </c>
      <c r="D25" s="7" t="s">
        <v>40</v>
      </c>
      <c r="E25" s="11">
        <v>1</v>
      </c>
      <c r="F25" s="11">
        <v>1</v>
      </c>
      <c r="G25" s="14">
        <f>11057.9976*E25*F25</f>
        <v>11057.9976</v>
      </c>
      <c r="H25" s="14">
        <f>9797.3539270126*E25*F25</f>
        <v>9797.3539270126</v>
      </c>
      <c r="I25" s="14">
        <f>0*E25*F25</f>
        <v>0</v>
      </c>
      <c r="J25" s="14">
        <f>13512.8730672*E25*F25</f>
        <v>13512.8730672</v>
      </c>
      <c r="K25" s="14">
        <f>3608.6635823923*E25*F25</f>
        <v>3608.6635823923</v>
      </c>
      <c r="L25" s="14">
        <f>2211.59952*E25*F25</f>
        <v>2211.59952</v>
      </c>
      <c r="M25" s="14">
        <f t="shared" si="1"/>
        <v>40188.487696604905</v>
      </c>
      <c r="N25" s="18">
        <f>IF(N10&gt;0,(M25/$N$10/12),0)</f>
        <v>0.44440560527915896</v>
      </c>
    </row>
    <row r="26" spans="2:14" ht="12">
      <c r="B26" s="9">
        <v>15</v>
      </c>
      <c r="C26" s="7" t="s">
        <v>41</v>
      </c>
      <c r="D26" s="7" t="s">
        <v>40</v>
      </c>
      <c r="E26" s="11">
        <v>1</v>
      </c>
      <c r="F26" s="11">
        <v>1</v>
      </c>
      <c r="G26" s="14">
        <f>6166.9602*E26*F26</f>
        <v>6166.9602</v>
      </c>
      <c r="H26" s="14">
        <f>3878.9307435*E26*F26</f>
        <v>3878.9307435</v>
      </c>
      <c r="I26" s="14">
        <f>0*E26*F26</f>
        <v>0</v>
      </c>
      <c r="J26" s="14">
        <f>7536.0253644*E26*F26</f>
        <v>7536.0253644</v>
      </c>
      <c r="K26" s="14">
        <f>1846.1012123295*E26*F26</f>
        <v>1846.1012123295</v>
      </c>
      <c r="L26" s="14">
        <f>1233.39204*E26*F26</f>
        <v>1233.39204</v>
      </c>
      <c r="M26" s="14">
        <f t="shared" si="1"/>
        <v>20661.4095602295</v>
      </c>
      <c r="N26" s="18">
        <f>IF(N10&gt;0,(M26/$N$10/12),0)</f>
        <v>0.22847453954606223</v>
      </c>
    </row>
    <row r="27" spans="2:14" ht="12">
      <c r="B27" s="9">
        <v>16</v>
      </c>
      <c r="C27" s="7" t="s">
        <v>42</v>
      </c>
      <c r="D27" s="7" t="s">
        <v>43</v>
      </c>
      <c r="E27" s="11">
        <v>1</v>
      </c>
      <c r="F27" s="11">
        <v>1</v>
      </c>
      <c r="G27" s="14">
        <f>32745.56536*E27*F27</f>
        <v>32745.56536</v>
      </c>
      <c r="H27" s="14">
        <f>1292.89316*E27*F27</f>
        <v>1292.89316</v>
      </c>
      <c r="I27" s="14">
        <f>0*E27*F27</f>
        <v>0</v>
      </c>
      <c r="J27" s="14">
        <f>40015.08086992*E27*F27</f>
        <v>40015.08086992</v>
      </c>
      <c r="K27" s="14">
        <f>7775.6216359416*E27*F27</f>
        <v>7775.6216359416</v>
      </c>
      <c r="L27" s="14">
        <f>6549.113072*E27*F27</f>
        <v>6549.113072</v>
      </c>
      <c r="M27" s="14">
        <f t="shared" si="1"/>
        <v>88378.2740978616</v>
      </c>
      <c r="N27" s="18">
        <f>IF(N10&gt;0,(M27/$N$10/12),0)</f>
        <v>0.9772898321154194</v>
      </c>
    </row>
    <row r="28" spans="2:14" ht="12">
      <c r="B28" s="9">
        <v>17</v>
      </c>
      <c r="C28" s="7" t="s">
        <v>44</v>
      </c>
      <c r="D28" s="7" t="s">
        <v>45</v>
      </c>
      <c r="E28" s="11">
        <v>1</v>
      </c>
      <c r="F28" s="11">
        <v>1</v>
      </c>
      <c r="G28" s="14">
        <f>51049.671228*E28*F28</f>
        <v>51049.671228</v>
      </c>
      <c r="H28" s="14">
        <f>23749.453376*E28*F28</f>
        <v>23749.453376</v>
      </c>
      <c r="I28" s="14">
        <f>396.188568*E28*F28</f>
        <v>396.188568</v>
      </c>
      <c r="J28" s="14">
        <f>62756.853495128*E28*F28</f>
        <v>62756.853495128</v>
      </c>
      <c r="K28" s="14">
        <f>14484.977500048*E28*F28</f>
        <v>14484.977500048</v>
      </c>
      <c r="L28" s="14">
        <f>10271.1707848*E28*F28</f>
        <v>10271.1707848</v>
      </c>
      <c r="M28" s="14">
        <f t="shared" si="1"/>
        <v>162708.31495197598</v>
      </c>
      <c r="N28" s="18">
        <f>IF(N10&gt;0,(M28/$N$10/12),0)</f>
        <v>1.7992338436833861</v>
      </c>
    </row>
    <row r="29" spans="2:14" ht="19.5" customHeight="1">
      <c r="B29" s="45" t="s">
        <v>46</v>
      </c>
      <c r="C29" s="46"/>
      <c r="D29" s="46"/>
      <c r="E29" s="46"/>
      <c r="F29" s="46"/>
      <c r="G29" s="15">
        <f aca="true" t="shared" si="2" ref="G29:N29">SUM(G12:G28)</f>
        <v>172274.577004</v>
      </c>
      <c r="H29" s="15">
        <f t="shared" si="2"/>
        <v>85897.9548305697</v>
      </c>
      <c r="I29" s="15">
        <f t="shared" si="2"/>
        <v>1132.785728</v>
      </c>
      <c r="J29" s="15">
        <f t="shared" si="2"/>
        <v>211119.62632852</v>
      </c>
      <c r="K29" s="15">
        <f t="shared" si="2"/>
        <v>49394.619108564</v>
      </c>
      <c r="L29" s="15">
        <f t="shared" si="2"/>
        <v>34553.130332</v>
      </c>
      <c r="M29" s="15">
        <f t="shared" si="2"/>
        <v>554372.6933316537</v>
      </c>
      <c r="N29" s="19">
        <f t="shared" si="2"/>
        <v>6.130271290380105</v>
      </c>
    </row>
    <row r="30" spans="2:14" ht="21.75" customHeight="1">
      <c r="B30" s="41" t="s">
        <v>47</v>
      </c>
      <c r="C30" s="42"/>
      <c r="D30" s="42"/>
      <c r="E30" s="42"/>
      <c r="F30" s="42"/>
      <c r="G30" s="43"/>
      <c r="H30" s="43"/>
      <c r="I30" s="43"/>
      <c r="J30" s="43"/>
      <c r="K30" s="43"/>
      <c r="L30" s="43"/>
      <c r="M30" s="43"/>
      <c r="N30" s="44"/>
    </row>
    <row r="31" spans="2:14" ht="12">
      <c r="B31" s="8">
        <v>18</v>
      </c>
      <c r="C31" s="6" t="s">
        <v>48</v>
      </c>
      <c r="D31" s="6" t="s">
        <v>49</v>
      </c>
      <c r="E31" s="10">
        <v>1</v>
      </c>
      <c r="F31" s="10">
        <v>1</v>
      </c>
      <c r="G31" s="13">
        <f>4656.2465*E31*F31</f>
        <v>4656.2465</v>
      </c>
      <c r="H31" s="13">
        <f>7906.0687674693*E31*F31</f>
        <v>7906.0687674693</v>
      </c>
      <c r="I31" s="13">
        <f aca="true" t="shared" si="3" ref="I31:I39">0*E31*F31</f>
        <v>0</v>
      </c>
      <c r="J31" s="13">
        <f>5689.933223*E31*F31</f>
        <v>5689.933223</v>
      </c>
      <c r="K31" s="13">
        <f>1916.4860914993*E31*F31</f>
        <v>1916.4860914993</v>
      </c>
      <c r="L31" s="13">
        <f>931.2493*E31*F31</f>
        <v>931.2493</v>
      </c>
      <c r="M31" s="13">
        <f aca="true" t="shared" si="4" ref="M31:M39">SUM(G31:L31)</f>
        <v>21099.9838819686</v>
      </c>
      <c r="N31" s="17">
        <f>IF(N10&gt;0,(M31/$N$10/12),0)</f>
        <v>0.23332430867357354</v>
      </c>
    </row>
    <row r="32" spans="2:14" ht="24">
      <c r="B32" s="9">
        <v>19</v>
      </c>
      <c r="C32" s="7" t="s">
        <v>50</v>
      </c>
      <c r="D32" s="7" t="s">
        <v>51</v>
      </c>
      <c r="E32" s="11">
        <v>1</v>
      </c>
      <c r="F32" s="11">
        <v>1</v>
      </c>
      <c r="G32" s="14">
        <f>3514.978*E32*F32</f>
        <v>3514.978</v>
      </c>
      <c r="H32" s="14">
        <f>2469.80941284*E32*F32</f>
        <v>2469.80941284</v>
      </c>
      <c r="I32" s="14">
        <f t="shared" si="3"/>
        <v>0</v>
      </c>
      <c r="J32" s="14">
        <f>4295.303116*E32*F32</f>
        <v>4295.303116</v>
      </c>
      <c r="K32" s="14">
        <f>1079.4095055282*E32*F32</f>
        <v>1079.4095055282</v>
      </c>
      <c r="L32" s="14">
        <f>702.9956*E32*F32</f>
        <v>702.9956</v>
      </c>
      <c r="M32" s="14">
        <f t="shared" si="4"/>
        <v>12062.495634368199</v>
      </c>
      <c r="N32" s="18">
        <f>IF(N10&gt;0,(M32/$N$10/12),0)</f>
        <v>0.1333874694175535</v>
      </c>
    </row>
    <row r="33" spans="2:14" ht="24">
      <c r="B33" s="9">
        <v>20</v>
      </c>
      <c r="C33" s="7" t="s">
        <v>52</v>
      </c>
      <c r="D33" s="7" t="s">
        <v>51</v>
      </c>
      <c r="E33" s="11">
        <v>1</v>
      </c>
      <c r="F33" s="11">
        <v>1</v>
      </c>
      <c r="G33" s="14">
        <f>66.5457*E33*F33</f>
        <v>66.5457</v>
      </c>
      <c r="H33" s="14">
        <f aca="true" t="shared" si="5" ref="H33:H39">0*E33*F33</f>
        <v>0</v>
      </c>
      <c r="I33" s="14">
        <f t="shared" si="3"/>
        <v>0</v>
      </c>
      <c r="J33" s="14">
        <f>81.3188454*E33*F33</f>
        <v>81.3188454</v>
      </c>
      <c r="K33" s="14">
        <f>15.525777267*E33*F33</f>
        <v>15.525777267</v>
      </c>
      <c r="L33" s="14">
        <f>13.30914*E33*F33</f>
        <v>13.30914</v>
      </c>
      <c r="M33" s="14">
        <f t="shared" si="4"/>
        <v>176.69946266699998</v>
      </c>
      <c r="N33" s="18">
        <f>IF(N10&gt;0,(M33/$N$10/12),0)</f>
        <v>0.0019539484105958065</v>
      </c>
    </row>
    <row r="34" spans="2:14" ht="24">
      <c r="B34" s="9">
        <v>21</v>
      </c>
      <c r="C34" s="7" t="s">
        <v>53</v>
      </c>
      <c r="D34" s="7" t="s">
        <v>51</v>
      </c>
      <c r="E34" s="11">
        <v>1</v>
      </c>
      <c r="F34" s="11">
        <v>1</v>
      </c>
      <c r="G34" s="14">
        <f>2347.54492*E34*F34</f>
        <v>2347.54492</v>
      </c>
      <c r="H34" s="14">
        <f t="shared" si="5"/>
        <v>0</v>
      </c>
      <c r="I34" s="14">
        <f t="shared" si="3"/>
        <v>0</v>
      </c>
      <c r="J34" s="14">
        <f>2868.69989224*E34*F34</f>
        <v>2868.69989224</v>
      </c>
      <c r="K34" s="14">
        <f>547.7057052852*E34*F34</f>
        <v>547.7057052852</v>
      </c>
      <c r="L34" s="14">
        <f>469.508984*E34*F34</f>
        <v>469.508984</v>
      </c>
      <c r="M34" s="14">
        <f t="shared" si="4"/>
        <v>6233.4595015252</v>
      </c>
      <c r="N34" s="18">
        <f>IF(N10&gt;0,(M34/$N$10/12),0)</f>
        <v>0.06892979809719126</v>
      </c>
    </row>
    <row r="35" spans="2:14" ht="24">
      <c r="B35" s="9">
        <v>22</v>
      </c>
      <c r="C35" s="7" t="s">
        <v>54</v>
      </c>
      <c r="D35" s="7" t="s">
        <v>51</v>
      </c>
      <c r="E35" s="11">
        <v>1</v>
      </c>
      <c r="F35" s="11">
        <v>1</v>
      </c>
      <c r="G35" s="14">
        <f>682.52*E35*F35</f>
        <v>682.52</v>
      </c>
      <c r="H35" s="14">
        <f t="shared" si="5"/>
        <v>0</v>
      </c>
      <c r="I35" s="14">
        <f t="shared" si="3"/>
        <v>0</v>
      </c>
      <c r="J35" s="14">
        <f>834.03944*E35*F35</f>
        <v>834.03944</v>
      </c>
      <c r="K35" s="14">
        <f>159.2387412*E35*F35</f>
        <v>159.2387412</v>
      </c>
      <c r="L35" s="14">
        <f>136.504*E35*F35</f>
        <v>136.504</v>
      </c>
      <c r="M35" s="14">
        <f t="shared" si="4"/>
        <v>1812.3021812</v>
      </c>
      <c r="N35" s="18">
        <f>IF(N10&gt;0,(M35/$N$10/12),0)</f>
        <v>0.02004049651893135</v>
      </c>
    </row>
    <row r="36" spans="2:14" ht="24">
      <c r="B36" s="9">
        <v>23</v>
      </c>
      <c r="C36" s="7" t="s">
        <v>55</v>
      </c>
      <c r="D36" s="7" t="s">
        <v>51</v>
      </c>
      <c r="E36" s="11">
        <v>1</v>
      </c>
      <c r="F36" s="11">
        <v>1</v>
      </c>
      <c r="G36" s="14">
        <f>511.89*E36*F36</f>
        <v>511.89</v>
      </c>
      <c r="H36" s="14">
        <f t="shared" si="5"/>
        <v>0</v>
      </c>
      <c r="I36" s="14">
        <f t="shared" si="3"/>
        <v>0</v>
      </c>
      <c r="J36" s="14">
        <f>625.52958*E36*F36</f>
        <v>625.52958</v>
      </c>
      <c r="K36" s="14">
        <f>119.4290559*E36*F36</f>
        <v>119.4290559</v>
      </c>
      <c r="L36" s="14">
        <f>102.378*E36*F36</f>
        <v>102.378</v>
      </c>
      <c r="M36" s="14">
        <f t="shared" si="4"/>
        <v>1359.2266359</v>
      </c>
      <c r="N36" s="18">
        <f>IF(N10&gt;0,(M36/$N$10/12),0)</f>
        <v>0.015030372389198514</v>
      </c>
    </row>
    <row r="37" spans="2:14" ht="12">
      <c r="B37" s="9">
        <v>24</v>
      </c>
      <c r="C37" s="7" t="s">
        <v>56</v>
      </c>
      <c r="D37" s="7" t="s">
        <v>57</v>
      </c>
      <c r="E37" s="11">
        <v>1</v>
      </c>
      <c r="F37" s="11">
        <v>1</v>
      </c>
      <c r="G37" s="14">
        <f>718.6362*E37*F37</f>
        <v>718.6362</v>
      </c>
      <c r="H37" s="14">
        <f t="shared" si="5"/>
        <v>0</v>
      </c>
      <c r="I37" s="14">
        <f t="shared" si="3"/>
        <v>0</v>
      </c>
      <c r="J37" s="14">
        <f>878.1734364*E37*F37</f>
        <v>878.1734364</v>
      </c>
      <c r="K37" s="14">
        <f>167.665011822*E37*F37</f>
        <v>167.665011822</v>
      </c>
      <c r="L37" s="14">
        <f>143.72724*E37*F37</f>
        <v>143.72724</v>
      </c>
      <c r="M37" s="14">
        <f t="shared" si="4"/>
        <v>1908.201888222</v>
      </c>
      <c r="N37" s="18">
        <f>IF(N10&gt;0,(M37/$N$10/12),0)</f>
        <v>0.021100958601180997</v>
      </c>
    </row>
    <row r="38" spans="2:14" ht="24">
      <c r="B38" s="9">
        <v>25</v>
      </c>
      <c r="C38" s="7" t="s">
        <v>58</v>
      </c>
      <c r="D38" s="7" t="s">
        <v>51</v>
      </c>
      <c r="E38" s="11">
        <v>1</v>
      </c>
      <c r="F38" s="11">
        <v>1</v>
      </c>
      <c r="G38" s="14">
        <f>716.646*E38*F38</f>
        <v>716.646</v>
      </c>
      <c r="H38" s="14">
        <f t="shared" si="5"/>
        <v>0</v>
      </c>
      <c r="I38" s="14">
        <f t="shared" si="3"/>
        <v>0</v>
      </c>
      <c r="J38" s="14">
        <f>875.741412*E38*F38</f>
        <v>875.741412</v>
      </c>
      <c r="K38" s="14">
        <f>167.20067826*E38*F38</f>
        <v>167.20067826</v>
      </c>
      <c r="L38" s="14">
        <f>143.3292*E38*F38</f>
        <v>143.3292</v>
      </c>
      <c r="M38" s="14">
        <f t="shared" si="4"/>
        <v>1902.9172902599998</v>
      </c>
      <c r="N38" s="18">
        <f>IF(N10&gt;0,(M38/$N$10/12),0)</f>
        <v>0.021042521344877916</v>
      </c>
    </row>
    <row r="39" spans="2:14" ht="84">
      <c r="B39" s="9">
        <v>26</v>
      </c>
      <c r="C39" s="7" t="s">
        <v>59</v>
      </c>
      <c r="D39" s="7" t="s">
        <v>60</v>
      </c>
      <c r="E39" s="11">
        <v>1</v>
      </c>
      <c r="F39" s="11">
        <v>3</v>
      </c>
      <c r="G39" s="14">
        <f>2324.1895*E39*F39</f>
        <v>6972.568499999999</v>
      </c>
      <c r="H39" s="14">
        <f t="shared" si="5"/>
        <v>0</v>
      </c>
      <c r="I39" s="14">
        <f t="shared" si="3"/>
        <v>0</v>
      </c>
      <c r="J39" s="14">
        <f>2840.159569*E39*F39</f>
        <v>8520.478707</v>
      </c>
      <c r="K39" s="14">
        <f>542.256652245*E39*F39</f>
        <v>1626.769956735</v>
      </c>
      <c r="L39" s="14">
        <f>464.8379*E39*F39</f>
        <v>1394.5137</v>
      </c>
      <c r="M39" s="14">
        <f t="shared" si="4"/>
        <v>18514.330863735</v>
      </c>
      <c r="N39" s="18">
        <f>IF(N10&gt;0,(M39/$N$10/12),0)</f>
        <v>0.20473207342240576</v>
      </c>
    </row>
    <row r="40" spans="2:14" ht="19.5" customHeight="1">
      <c r="B40" s="45" t="s">
        <v>46</v>
      </c>
      <c r="C40" s="46"/>
      <c r="D40" s="46"/>
      <c r="E40" s="46"/>
      <c r="F40" s="46"/>
      <c r="G40" s="15">
        <f aca="true" t="shared" si="6" ref="G40:N40">SUM(G31:G39)</f>
        <v>20187.575820000002</v>
      </c>
      <c r="H40" s="15">
        <f t="shared" si="6"/>
        <v>10375.8781803093</v>
      </c>
      <c r="I40" s="15">
        <f t="shared" si="6"/>
        <v>0</v>
      </c>
      <c r="J40" s="15">
        <f t="shared" si="6"/>
        <v>24669.21765204</v>
      </c>
      <c r="K40" s="15">
        <f t="shared" si="6"/>
        <v>5799.4305234967005</v>
      </c>
      <c r="L40" s="15">
        <f t="shared" si="6"/>
        <v>4037.5151640000004</v>
      </c>
      <c r="M40" s="15">
        <f t="shared" si="6"/>
        <v>65069.61733984599</v>
      </c>
      <c r="N40" s="19">
        <f t="shared" si="6"/>
        <v>0.7195419468755087</v>
      </c>
    </row>
    <row r="41" spans="2:14" ht="21.75" customHeight="1">
      <c r="B41" s="41" t="s">
        <v>61</v>
      </c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3"/>
      <c r="N41" s="44"/>
    </row>
    <row r="42" spans="2:14" ht="36">
      <c r="B42" s="8">
        <v>27</v>
      </c>
      <c r="C42" s="6" t="s">
        <v>62</v>
      </c>
      <c r="D42" s="6" t="s">
        <v>63</v>
      </c>
      <c r="E42" s="10">
        <v>1</v>
      </c>
      <c r="F42" s="10">
        <v>247</v>
      </c>
      <c r="G42" s="13">
        <f>174.54148*E42*F42</f>
        <v>43111.74556</v>
      </c>
      <c r="H42" s="13">
        <f>3.4615*E42*F42</f>
        <v>854.9905</v>
      </c>
      <c r="I42" s="13">
        <f>0*E42*F42</f>
        <v>0</v>
      </c>
      <c r="J42" s="13">
        <f>213.28968856*E42*F42</f>
        <v>52682.55307432</v>
      </c>
      <c r="K42" s="13">
        <f>41.0857301988*E42*F42</f>
        <v>10148.1753591036</v>
      </c>
      <c r="L42" s="13">
        <f>34.908296*E42*F42</f>
        <v>8622.349112</v>
      </c>
      <c r="M42" s="13">
        <f>SUM(G42:L42)</f>
        <v>115419.8136054236</v>
      </c>
      <c r="N42" s="17">
        <f>IF(N10&gt;0,(M42/$N$10/12),0)</f>
        <v>1.2763160563232439</v>
      </c>
    </row>
    <row r="43" spans="2:14" ht="24">
      <c r="B43" s="9">
        <v>28</v>
      </c>
      <c r="C43" s="7" t="s">
        <v>64</v>
      </c>
      <c r="D43" s="7" t="s">
        <v>65</v>
      </c>
      <c r="E43" s="11">
        <v>1</v>
      </c>
      <c r="F43" s="11">
        <v>24</v>
      </c>
      <c r="G43" s="14">
        <f>399.51*E43*F43</f>
        <v>9588.24</v>
      </c>
      <c r="H43" s="14">
        <f>45.30146*E43*F43</f>
        <v>1087.23504</v>
      </c>
      <c r="I43" s="14">
        <f>0*E43*F43</f>
        <v>0</v>
      </c>
      <c r="J43" s="14">
        <f>488.20122*E43*F43</f>
        <v>11716.82928</v>
      </c>
      <c r="K43" s="14">
        <f>97.9663314*E43*F43</f>
        <v>2351.1919536</v>
      </c>
      <c r="L43" s="14">
        <f>79.902*E43*F43</f>
        <v>1917.6480000000001</v>
      </c>
      <c r="M43" s="14">
        <f>SUM(G43:L43)</f>
        <v>26661.1442736</v>
      </c>
      <c r="N43" s="18">
        <f>IF(N10&gt;0,(M43/$N$10/12),0)</f>
        <v>0.2948198013269639</v>
      </c>
    </row>
    <row r="44" spans="2:14" ht="24">
      <c r="B44" s="9">
        <v>29</v>
      </c>
      <c r="C44" s="7" t="s">
        <v>66</v>
      </c>
      <c r="D44" s="7" t="s">
        <v>67</v>
      </c>
      <c r="E44" s="11">
        <v>1</v>
      </c>
      <c r="F44" s="11">
        <v>1</v>
      </c>
      <c r="G44" s="14">
        <f>8728.5211*E44*F44</f>
        <v>8728.5211</v>
      </c>
      <c r="H44" s="14">
        <f>419.365*E44*F44</f>
        <v>419.365</v>
      </c>
      <c r="I44" s="14">
        <f>0*E44*F44</f>
        <v>0</v>
      </c>
      <c r="J44" s="14">
        <f>10666.2527842*E44*F44</f>
        <v>10666.2527842</v>
      </c>
      <c r="K44" s="14">
        <f>2080.484582841*E44*F44</f>
        <v>2080.484582841</v>
      </c>
      <c r="L44" s="14">
        <f>1745.70422*E44*F44</f>
        <v>1745.70422</v>
      </c>
      <c r="M44" s="14">
        <f>SUM(G44:L44)</f>
        <v>23640.327687041</v>
      </c>
      <c r="N44" s="18">
        <f>IF(N10&gt;0,(M44/$N$10/12),0)</f>
        <v>0.26141551317057016</v>
      </c>
    </row>
    <row r="45" spans="2:14" ht="24">
      <c r="B45" s="9">
        <v>30</v>
      </c>
      <c r="C45" s="7" t="s">
        <v>68</v>
      </c>
      <c r="D45" s="7" t="s">
        <v>67</v>
      </c>
      <c r="E45" s="11">
        <v>1</v>
      </c>
      <c r="F45" s="11">
        <v>1</v>
      </c>
      <c r="G45" s="14">
        <f>32734*E45*F45</f>
        <v>32734</v>
      </c>
      <c r="H45" s="14">
        <f>156.675*E45*F45</f>
        <v>156.675</v>
      </c>
      <c r="I45" s="14">
        <f>0*E45*F45</f>
        <v>0</v>
      </c>
      <c r="J45" s="14">
        <f>40000.948*E45*F45</f>
        <v>40000.948</v>
      </c>
      <c r="K45" s="14">
        <f>7653.620415*E45*F45</f>
        <v>7653.620415</v>
      </c>
      <c r="L45" s="14">
        <f>6546.8*E45*F45</f>
        <v>6546.8</v>
      </c>
      <c r="M45" s="14">
        <f>SUM(G45:L45)</f>
        <v>87092.043415</v>
      </c>
      <c r="N45" s="18">
        <f>IF(N10&gt;0,(M45/$N$10/12),0)</f>
        <v>0.9630666513512915</v>
      </c>
    </row>
    <row r="46" spans="2:14" ht="12.75">
      <c r="B46" s="45" t="s">
        <v>46</v>
      </c>
      <c r="C46" s="46"/>
      <c r="D46" s="46"/>
      <c r="E46" s="46"/>
      <c r="F46" s="46"/>
      <c r="G46" s="15">
        <f aca="true" t="shared" si="7" ref="G46:N46">SUM(G42:G45)</f>
        <v>94162.50666</v>
      </c>
      <c r="H46" s="15">
        <f t="shared" si="7"/>
        <v>2518.2655400000003</v>
      </c>
      <c r="I46" s="15">
        <f t="shared" si="7"/>
        <v>0</v>
      </c>
      <c r="J46" s="15">
        <f t="shared" si="7"/>
        <v>115066.58313851999</v>
      </c>
      <c r="K46" s="15">
        <f t="shared" si="7"/>
        <v>22233.4723105446</v>
      </c>
      <c r="L46" s="15">
        <f t="shared" si="7"/>
        <v>18832.501332</v>
      </c>
      <c r="M46" s="15">
        <f t="shared" si="7"/>
        <v>252813.32898106458</v>
      </c>
      <c r="N46" s="19">
        <f t="shared" si="7"/>
        <v>2.7956180221720697</v>
      </c>
    </row>
    <row r="47" spans="2:14" ht="27.75" customHeight="1">
      <c r="B47" s="47" t="s">
        <v>69</v>
      </c>
      <c r="C47" s="48"/>
      <c r="D47" s="48"/>
      <c r="E47" s="48"/>
      <c r="F47" s="48"/>
      <c r="G47" s="20">
        <f aca="true" t="shared" si="8" ref="G47:N47">G29+G40+G46</f>
        <v>286624.659484</v>
      </c>
      <c r="H47" s="20">
        <f t="shared" si="8"/>
        <v>98792.09855087899</v>
      </c>
      <c r="I47" s="20">
        <f t="shared" si="8"/>
        <v>1132.785728</v>
      </c>
      <c r="J47" s="20">
        <f t="shared" si="8"/>
        <v>350855.42711908</v>
      </c>
      <c r="K47" s="20">
        <f t="shared" si="8"/>
        <v>77427.52194260531</v>
      </c>
      <c r="L47" s="20">
        <f t="shared" si="8"/>
        <v>57423.146828</v>
      </c>
      <c r="M47" s="20">
        <f t="shared" si="8"/>
        <v>872255.6396525643</v>
      </c>
      <c r="N47" s="21">
        <f t="shared" si="8"/>
        <v>9.645431259427683</v>
      </c>
    </row>
    <row r="51" spans="3:14" ht="18">
      <c r="C51" s="49" t="s">
        <v>70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3:11" ht="19.5" customHeight="1">
      <c r="C52" s="50" t="s">
        <v>71</v>
      </c>
      <c r="D52" s="51"/>
      <c r="E52" s="52">
        <f>G47</f>
        <v>286624.659484</v>
      </c>
      <c r="F52" s="51"/>
      <c r="G52" s="50" t="s">
        <v>72</v>
      </c>
      <c r="H52" s="51"/>
      <c r="I52" s="51"/>
      <c r="J52" s="52">
        <f>J47</f>
        <v>350855.42711908</v>
      </c>
      <c r="K52" s="51"/>
    </row>
    <row r="53" spans="3:11" ht="19.5" customHeight="1">
      <c r="C53" s="50" t="s">
        <v>73</v>
      </c>
      <c r="D53" s="51"/>
      <c r="E53" s="52">
        <f>H47</f>
        <v>98792.09855087899</v>
      </c>
      <c r="F53" s="51"/>
      <c r="G53" s="50" t="s">
        <v>74</v>
      </c>
      <c r="H53" s="51"/>
      <c r="I53" s="51"/>
      <c r="J53" s="52">
        <f>K47</f>
        <v>77427.52194260531</v>
      </c>
      <c r="K53" s="51"/>
    </row>
    <row r="54" spans="3:11" ht="19.5" customHeight="1">
      <c r="C54" s="50" t="s">
        <v>75</v>
      </c>
      <c r="D54" s="51"/>
      <c r="E54" s="52">
        <f>I47</f>
        <v>1132.785728</v>
      </c>
      <c r="F54" s="51"/>
      <c r="G54" s="50" t="s">
        <v>76</v>
      </c>
      <c r="H54" s="51"/>
      <c r="I54" s="51"/>
      <c r="J54" s="52">
        <f>L47</f>
        <v>57423.146828</v>
      </c>
      <c r="K54" s="51"/>
    </row>
    <row r="55" spans="3:11" ht="15">
      <c r="C55" s="5"/>
      <c r="E55" s="22"/>
      <c r="G55" s="50" t="s">
        <v>77</v>
      </c>
      <c r="H55" s="51"/>
      <c r="I55" s="51"/>
      <c r="J55" s="52">
        <f>M47</f>
        <v>872255.6396525643</v>
      </c>
      <c r="K55" s="51"/>
    </row>
  </sheetData>
  <sheetProtection formatCells="0" formatColumns="0" formatRows="0" insertColumns="0" insertRows="0" insertHyperlinks="0" deleteColumns="0" deleteRows="0" sort="0" autoFilter="0" pivotTables="0"/>
  <mergeCells count="26">
    <mergeCell ref="M2:N6"/>
    <mergeCell ref="G55:I55"/>
    <mergeCell ref="J55:K55"/>
    <mergeCell ref="C53:D53"/>
    <mergeCell ref="E53:F53"/>
    <mergeCell ref="G53:I53"/>
    <mergeCell ref="J53:K53"/>
    <mergeCell ref="C54:D54"/>
    <mergeCell ref="E54:F54"/>
    <mergeCell ref="G54:I54"/>
    <mergeCell ref="J54:K54"/>
    <mergeCell ref="B40:F40"/>
    <mergeCell ref="B41:N41"/>
    <mergeCell ref="B46:F46"/>
    <mergeCell ref="B47:F47"/>
    <mergeCell ref="C51:N51"/>
    <mergeCell ref="C52:D52"/>
    <mergeCell ref="E52:F52"/>
    <mergeCell ref="G52:I52"/>
    <mergeCell ref="J52:K52"/>
    <mergeCell ref="B7:M7"/>
    <mergeCell ref="B10:K10"/>
    <mergeCell ref="L10:M10"/>
    <mergeCell ref="B11:N11"/>
    <mergeCell ref="B29:F29"/>
    <mergeCell ref="B30:N30"/>
  </mergeCells>
  <printOptions/>
  <pageMargins left="0.35" right="0.35" top="0.35" bottom="0.35" header="0.3" footer="0.3"/>
  <pageSetup fitToHeight="0" fitToWidth="1" horizontalDpi="600" verticalDpi="600" orientation="landscape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workbookViewId="0" topLeftCell="B37">
      <selection activeCell="K6" sqref="K6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7" t="s">
        <v>78</v>
      </c>
      <c r="C1" s="57"/>
      <c r="D1" s="57"/>
      <c r="E1" s="57"/>
      <c r="F1" s="57"/>
      <c r="G1" s="57"/>
    </row>
    <row r="2" ht="12">
      <c r="C2" s="36" t="s">
        <v>201</v>
      </c>
    </row>
    <row r="3" spans="1:7" ht="27">
      <c r="A3" s="23"/>
      <c r="B3" s="24" t="s">
        <v>1</v>
      </c>
      <c r="C3" s="24" t="s">
        <v>79</v>
      </c>
      <c r="D3" s="24" t="s">
        <v>80</v>
      </c>
      <c r="E3" s="24" t="s">
        <v>4</v>
      </c>
      <c r="F3" s="24" t="s">
        <v>81</v>
      </c>
      <c r="G3" s="25" t="s">
        <v>12</v>
      </c>
    </row>
    <row r="4" spans="2:7" ht="16.5">
      <c r="B4" s="56" t="s">
        <v>82</v>
      </c>
      <c r="C4" s="56"/>
      <c r="D4" s="56"/>
      <c r="E4" s="56"/>
      <c r="F4" s="56"/>
      <c r="G4" s="56"/>
    </row>
    <row r="5" spans="2:7" ht="12">
      <c r="B5" s="26">
        <v>1</v>
      </c>
      <c r="C5" s="28" t="s">
        <v>83</v>
      </c>
      <c r="D5" s="28" t="s">
        <v>84</v>
      </c>
      <c r="E5" s="29">
        <v>253.33</v>
      </c>
      <c r="F5" s="30">
        <v>163.67</v>
      </c>
      <c r="G5" s="32">
        <f aca="true" t="shared" si="0" ref="G5:G33">E5*F5</f>
        <v>41462.5211</v>
      </c>
    </row>
    <row r="6" spans="2:7" ht="12">
      <c r="B6" s="27">
        <v>2</v>
      </c>
      <c r="C6" s="7" t="s">
        <v>85</v>
      </c>
      <c r="D6" s="7" t="s">
        <v>84</v>
      </c>
      <c r="E6" s="12">
        <v>45.54</v>
      </c>
      <c r="F6" s="14">
        <v>236.8074</v>
      </c>
      <c r="G6" s="33">
        <f t="shared" si="0"/>
        <v>10784.208996</v>
      </c>
    </row>
    <row r="7" spans="2:7" ht="12">
      <c r="B7" s="27">
        <v>3</v>
      </c>
      <c r="C7" s="7" t="s">
        <v>86</v>
      </c>
      <c r="D7" s="7" t="s">
        <v>84</v>
      </c>
      <c r="E7" s="12">
        <v>50</v>
      </c>
      <c r="F7" s="31">
        <v>170.63</v>
      </c>
      <c r="G7" s="33">
        <f t="shared" si="0"/>
        <v>8531.5</v>
      </c>
    </row>
    <row r="8" spans="2:7" ht="12">
      <c r="B8" s="27">
        <v>4</v>
      </c>
      <c r="C8" s="7" t="s">
        <v>87</v>
      </c>
      <c r="D8" s="7" t="s">
        <v>84</v>
      </c>
      <c r="E8" s="12">
        <v>7.6</v>
      </c>
      <c r="F8" s="31">
        <v>170.63</v>
      </c>
      <c r="G8" s="33">
        <f t="shared" si="0"/>
        <v>1296.788</v>
      </c>
    </row>
    <row r="9" spans="2:7" ht="12">
      <c r="B9" s="27">
        <v>5</v>
      </c>
      <c r="C9" s="7" t="s">
        <v>88</v>
      </c>
      <c r="D9" s="7" t="s">
        <v>84</v>
      </c>
      <c r="E9" s="12">
        <v>0.83</v>
      </c>
      <c r="F9" s="31">
        <v>170.63</v>
      </c>
      <c r="G9" s="33">
        <f t="shared" si="0"/>
        <v>141.6229</v>
      </c>
    </row>
    <row r="10" spans="2:7" ht="12">
      <c r="B10" s="27">
        <v>6</v>
      </c>
      <c r="C10" s="7" t="s">
        <v>89</v>
      </c>
      <c r="D10" s="7" t="s">
        <v>84</v>
      </c>
      <c r="E10" s="12">
        <v>57.76</v>
      </c>
      <c r="F10" s="31">
        <v>170.63</v>
      </c>
      <c r="G10" s="33">
        <f t="shared" si="0"/>
        <v>9855.5888</v>
      </c>
    </row>
    <row r="11" spans="2:7" ht="12">
      <c r="B11" s="27">
        <v>7</v>
      </c>
      <c r="C11" s="7" t="s">
        <v>90</v>
      </c>
      <c r="D11" s="7" t="s">
        <v>84</v>
      </c>
      <c r="E11" s="12">
        <v>3</v>
      </c>
      <c r="F11" s="14">
        <v>239.54539999999997</v>
      </c>
      <c r="G11" s="33">
        <f t="shared" si="0"/>
        <v>718.6361999999999</v>
      </c>
    </row>
    <row r="12" spans="2:7" ht="12">
      <c r="B12" s="27">
        <v>8</v>
      </c>
      <c r="C12" s="7" t="s">
        <v>91</v>
      </c>
      <c r="D12" s="7" t="s">
        <v>84</v>
      </c>
      <c r="E12" s="12">
        <v>62.15</v>
      </c>
      <c r="F12" s="31">
        <v>163.67</v>
      </c>
      <c r="G12" s="33">
        <f t="shared" si="0"/>
        <v>10172.090499999998</v>
      </c>
    </row>
    <row r="13" spans="2:7" ht="12">
      <c r="B13" s="27">
        <v>9</v>
      </c>
      <c r="C13" s="7" t="s">
        <v>92</v>
      </c>
      <c r="D13" s="7" t="s">
        <v>84</v>
      </c>
      <c r="E13" s="12">
        <v>83.84</v>
      </c>
      <c r="F13" s="31">
        <v>170.63</v>
      </c>
      <c r="G13" s="33">
        <f t="shared" si="0"/>
        <v>14305.619200000001</v>
      </c>
    </row>
    <row r="14" spans="2:7" ht="12">
      <c r="B14" s="27">
        <v>10</v>
      </c>
      <c r="C14" s="7" t="s">
        <v>93</v>
      </c>
      <c r="D14" s="7" t="s">
        <v>84</v>
      </c>
      <c r="E14" s="12">
        <v>4.8</v>
      </c>
      <c r="F14" s="14">
        <v>239.54539999999997</v>
      </c>
      <c r="G14" s="33">
        <f t="shared" si="0"/>
        <v>1149.8179199999997</v>
      </c>
    </row>
    <row r="15" spans="2:7" ht="12">
      <c r="B15" s="27">
        <v>11</v>
      </c>
      <c r="C15" s="7" t="s">
        <v>94</v>
      </c>
      <c r="D15" s="7" t="s">
        <v>84</v>
      </c>
      <c r="E15" s="12">
        <v>31.4</v>
      </c>
      <c r="F15" s="14">
        <v>192.23719999999997</v>
      </c>
      <c r="G15" s="33">
        <f t="shared" si="0"/>
        <v>6036.2480799999985</v>
      </c>
    </row>
    <row r="16" spans="2:7" ht="12">
      <c r="B16" s="27">
        <v>12</v>
      </c>
      <c r="C16" s="7" t="s">
        <v>95</v>
      </c>
      <c r="D16" s="7" t="s">
        <v>84</v>
      </c>
      <c r="E16" s="12">
        <v>365.66</v>
      </c>
      <c r="F16" s="14">
        <v>212.6538</v>
      </c>
      <c r="G16" s="33">
        <f t="shared" si="0"/>
        <v>77758.988508</v>
      </c>
    </row>
    <row r="17" spans="2:7" ht="12">
      <c r="B17" s="27">
        <v>13</v>
      </c>
      <c r="C17" s="7" t="s">
        <v>96</v>
      </c>
      <c r="D17" s="7" t="s">
        <v>84</v>
      </c>
      <c r="E17" s="12">
        <v>15.42</v>
      </c>
      <c r="F17" s="31">
        <v>170.63</v>
      </c>
      <c r="G17" s="33">
        <f t="shared" si="0"/>
        <v>2631.1146</v>
      </c>
    </row>
    <row r="18" spans="2:7" ht="12">
      <c r="B18" s="27">
        <v>14</v>
      </c>
      <c r="C18" s="7" t="s">
        <v>97</v>
      </c>
      <c r="D18" s="7" t="s">
        <v>84</v>
      </c>
      <c r="E18" s="12">
        <v>46.98</v>
      </c>
      <c r="F18" s="31">
        <v>170.63</v>
      </c>
      <c r="G18" s="33">
        <f t="shared" si="0"/>
        <v>8016.197399999999</v>
      </c>
    </row>
    <row r="19" spans="2:7" ht="12">
      <c r="B19" s="27">
        <v>15</v>
      </c>
      <c r="C19" s="7" t="s">
        <v>98</v>
      </c>
      <c r="D19" s="7" t="s">
        <v>84</v>
      </c>
      <c r="E19" s="12">
        <v>9.8</v>
      </c>
      <c r="F19" s="14">
        <v>239.54539999999997</v>
      </c>
      <c r="G19" s="33">
        <f t="shared" si="0"/>
        <v>2347.54492</v>
      </c>
    </row>
    <row r="20" spans="2:7" ht="24">
      <c r="B20" s="27">
        <v>16</v>
      </c>
      <c r="C20" s="7" t="s">
        <v>99</v>
      </c>
      <c r="D20" s="7" t="s">
        <v>84</v>
      </c>
      <c r="E20" s="12">
        <v>296.801</v>
      </c>
      <c r="F20" s="31">
        <v>177.56</v>
      </c>
      <c r="G20" s="33">
        <f t="shared" si="0"/>
        <v>52699.98556</v>
      </c>
    </row>
    <row r="21" spans="2:7" ht="24">
      <c r="B21" s="27">
        <v>17</v>
      </c>
      <c r="C21" s="7" t="s">
        <v>100</v>
      </c>
      <c r="D21" s="7" t="s">
        <v>84</v>
      </c>
      <c r="E21" s="12">
        <v>4</v>
      </c>
      <c r="F21" s="31">
        <v>170.63</v>
      </c>
      <c r="G21" s="33">
        <f t="shared" si="0"/>
        <v>682.52</v>
      </c>
    </row>
    <row r="22" spans="2:7" ht="24">
      <c r="B22" s="27">
        <v>18</v>
      </c>
      <c r="C22" s="7" t="s">
        <v>101</v>
      </c>
      <c r="D22" s="7" t="s">
        <v>84</v>
      </c>
      <c r="E22" s="12">
        <v>7.74</v>
      </c>
      <c r="F22" s="31">
        <v>218.99</v>
      </c>
      <c r="G22" s="33">
        <f t="shared" si="0"/>
        <v>1694.9826</v>
      </c>
    </row>
    <row r="23" spans="2:7" ht="12">
      <c r="B23" s="27">
        <v>19</v>
      </c>
      <c r="C23" s="7" t="s">
        <v>102</v>
      </c>
      <c r="D23" s="7" t="s">
        <v>84</v>
      </c>
      <c r="E23" s="12">
        <v>4.2</v>
      </c>
      <c r="F23" s="31">
        <v>170.63</v>
      </c>
      <c r="G23" s="33">
        <f t="shared" si="0"/>
        <v>716.646</v>
      </c>
    </row>
    <row r="24" spans="2:7" ht="12">
      <c r="B24" s="27">
        <v>20</v>
      </c>
      <c r="C24" s="7" t="s">
        <v>103</v>
      </c>
      <c r="D24" s="7" t="s">
        <v>84</v>
      </c>
      <c r="E24" s="12">
        <v>15.45</v>
      </c>
      <c r="F24" s="31">
        <v>170.63</v>
      </c>
      <c r="G24" s="33">
        <f t="shared" si="0"/>
        <v>2636.2335</v>
      </c>
    </row>
    <row r="25" spans="2:7" ht="12">
      <c r="B25" s="27">
        <v>21</v>
      </c>
      <c r="C25" s="7" t="s">
        <v>104</v>
      </c>
      <c r="D25" s="7" t="s">
        <v>84</v>
      </c>
      <c r="E25" s="12">
        <v>11.5</v>
      </c>
      <c r="F25" s="14">
        <v>192.23719999999997</v>
      </c>
      <c r="G25" s="33">
        <f t="shared" si="0"/>
        <v>2210.7277999999997</v>
      </c>
    </row>
    <row r="26" spans="2:7" ht="12">
      <c r="B26" s="27">
        <v>22</v>
      </c>
      <c r="C26" s="7" t="s">
        <v>105</v>
      </c>
      <c r="D26" s="7" t="s">
        <v>84</v>
      </c>
      <c r="E26" s="12">
        <v>11.5</v>
      </c>
      <c r="F26" s="14">
        <v>212.6538</v>
      </c>
      <c r="G26" s="33">
        <f t="shared" si="0"/>
        <v>2445.5187</v>
      </c>
    </row>
    <row r="27" spans="2:7" ht="12">
      <c r="B27" s="27">
        <v>23</v>
      </c>
      <c r="C27" s="7" t="s">
        <v>106</v>
      </c>
      <c r="D27" s="7" t="s">
        <v>84</v>
      </c>
      <c r="E27" s="12">
        <v>81</v>
      </c>
      <c r="F27" s="14">
        <v>212.6538</v>
      </c>
      <c r="G27" s="33">
        <f t="shared" si="0"/>
        <v>17224.9578</v>
      </c>
    </row>
    <row r="28" spans="2:7" ht="12">
      <c r="B28" s="27">
        <v>24</v>
      </c>
      <c r="C28" s="7" t="s">
        <v>107</v>
      </c>
      <c r="D28" s="7" t="s">
        <v>84</v>
      </c>
      <c r="E28" s="12">
        <v>3</v>
      </c>
      <c r="F28" s="31">
        <v>170.63</v>
      </c>
      <c r="G28" s="33">
        <f t="shared" si="0"/>
        <v>511.89</v>
      </c>
    </row>
    <row r="29" spans="2:7" ht="12">
      <c r="B29" s="27">
        <v>25</v>
      </c>
      <c r="C29" s="7" t="s">
        <v>108</v>
      </c>
      <c r="D29" s="7" t="s">
        <v>84</v>
      </c>
      <c r="E29" s="12">
        <v>13</v>
      </c>
      <c r="F29" s="31">
        <v>170.63</v>
      </c>
      <c r="G29" s="33">
        <f t="shared" si="0"/>
        <v>2218.19</v>
      </c>
    </row>
    <row r="30" spans="2:7" ht="12">
      <c r="B30" s="27">
        <v>26</v>
      </c>
      <c r="C30" s="7" t="s">
        <v>109</v>
      </c>
      <c r="D30" s="7" t="s">
        <v>84</v>
      </c>
      <c r="E30" s="12">
        <v>16.8</v>
      </c>
      <c r="F30" s="31">
        <v>170.63</v>
      </c>
      <c r="G30" s="33">
        <f t="shared" si="0"/>
        <v>2866.584</v>
      </c>
    </row>
    <row r="31" spans="2:7" ht="12">
      <c r="B31" s="27">
        <v>27</v>
      </c>
      <c r="C31" s="7" t="s">
        <v>110</v>
      </c>
      <c r="D31" s="7" t="s">
        <v>84</v>
      </c>
      <c r="E31" s="12">
        <v>16.8</v>
      </c>
      <c r="F31" s="31">
        <v>170.63</v>
      </c>
      <c r="G31" s="33">
        <f t="shared" si="0"/>
        <v>2866.584</v>
      </c>
    </row>
    <row r="32" spans="2:7" ht="24">
      <c r="B32" s="27">
        <v>28</v>
      </c>
      <c r="C32" s="7" t="s">
        <v>111</v>
      </c>
      <c r="D32" s="7" t="s">
        <v>112</v>
      </c>
      <c r="E32" s="12">
        <v>7.74</v>
      </c>
      <c r="F32" s="31">
        <v>170.63</v>
      </c>
      <c r="G32" s="33">
        <f t="shared" si="0"/>
        <v>1320.6762</v>
      </c>
    </row>
    <row r="33" spans="2:7" ht="24">
      <c r="B33" s="27">
        <v>29</v>
      </c>
      <c r="C33" s="7" t="s">
        <v>113</v>
      </c>
      <c r="D33" s="7" t="s">
        <v>84</v>
      </c>
      <c r="E33" s="12">
        <v>7.74</v>
      </c>
      <c r="F33" s="31">
        <v>170.63</v>
      </c>
      <c r="G33" s="33">
        <f t="shared" si="0"/>
        <v>1320.6762</v>
      </c>
    </row>
    <row r="34" spans="2:7" ht="12">
      <c r="B34" s="53" t="s">
        <v>114</v>
      </c>
      <c r="C34" s="54"/>
      <c r="D34" s="54"/>
      <c r="E34" s="54"/>
      <c r="F34" s="55"/>
      <c r="G34" s="34">
        <f>SUM(G5:G33)</f>
        <v>286624.6594839999</v>
      </c>
    </row>
    <row r="35" spans="2:7" ht="16.5">
      <c r="B35" s="56" t="s">
        <v>115</v>
      </c>
      <c r="C35" s="56"/>
      <c r="D35" s="56"/>
      <c r="E35" s="56"/>
      <c r="F35" s="56"/>
      <c r="G35" s="56"/>
    </row>
    <row r="36" spans="2:7" ht="12">
      <c r="B36" s="26">
        <v>30</v>
      </c>
      <c r="C36" s="28" t="s">
        <v>116</v>
      </c>
      <c r="D36" s="28" t="s">
        <v>117</v>
      </c>
      <c r="E36" s="29">
        <v>0.0042</v>
      </c>
      <c r="F36" s="35">
        <v>50525.9319</v>
      </c>
      <c r="G36" s="32">
        <f aca="true" t="shared" si="1" ref="G36:G67">E36*F36</f>
        <v>212.20891398</v>
      </c>
    </row>
    <row r="37" spans="2:7" ht="24">
      <c r="B37" s="27">
        <v>31</v>
      </c>
      <c r="C37" s="7" t="s">
        <v>118</v>
      </c>
      <c r="D37" s="7" t="s">
        <v>117</v>
      </c>
      <c r="E37" s="12">
        <v>0.025</v>
      </c>
      <c r="F37" s="14">
        <v>21878.923400000003</v>
      </c>
      <c r="G37" s="33">
        <f t="shared" si="1"/>
        <v>546.9730850000001</v>
      </c>
    </row>
    <row r="38" spans="2:7" ht="24">
      <c r="B38" s="27">
        <v>32</v>
      </c>
      <c r="C38" s="7" t="s">
        <v>119</v>
      </c>
      <c r="D38" s="7" t="s">
        <v>120</v>
      </c>
      <c r="E38" s="12">
        <v>0.003</v>
      </c>
      <c r="F38" s="14">
        <v>7244.0126</v>
      </c>
      <c r="G38" s="33">
        <f t="shared" si="1"/>
        <v>21.7320378</v>
      </c>
    </row>
    <row r="39" spans="2:7" ht="12">
      <c r="B39" s="27">
        <v>33</v>
      </c>
      <c r="C39" s="7" t="s">
        <v>121</v>
      </c>
      <c r="D39" s="7" t="s">
        <v>122</v>
      </c>
      <c r="E39" s="12">
        <v>0.62</v>
      </c>
      <c r="F39" s="14">
        <v>42.8802</v>
      </c>
      <c r="G39" s="33">
        <f t="shared" si="1"/>
        <v>26.585724000000003</v>
      </c>
    </row>
    <row r="40" spans="2:7" ht="12">
      <c r="B40" s="27">
        <v>34</v>
      </c>
      <c r="C40" s="7" t="s">
        <v>123</v>
      </c>
      <c r="D40" s="7" t="s">
        <v>120</v>
      </c>
      <c r="E40" s="12">
        <v>30.174</v>
      </c>
      <c r="F40" s="31">
        <v>27.79</v>
      </c>
      <c r="G40" s="33">
        <f t="shared" si="1"/>
        <v>838.53546</v>
      </c>
    </row>
    <row r="41" spans="2:7" ht="12">
      <c r="B41" s="27">
        <v>35</v>
      </c>
      <c r="C41" s="7" t="s">
        <v>124</v>
      </c>
      <c r="D41" s="7" t="s">
        <v>117</v>
      </c>
      <c r="E41" s="12">
        <v>0.13</v>
      </c>
      <c r="F41" s="14">
        <v>103842.7792</v>
      </c>
      <c r="G41" s="33">
        <f t="shared" si="1"/>
        <v>13499.561296000002</v>
      </c>
    </row>
    <row r="42" spans="2:7" ht="12">
      <c r="B42" s="27">
        <v>36</v>
      </c>
      <c r="C42" s="7" t="s">
        <v>125</v>
      </c>
      <c r="D42" s="7" t="s">
        <v>126</v>
      </c>
      <c r="E42" s="12">
        <v>9.73</v>
      </c>
      <c r="F42" s="14">
        <v>223.5235</v>
      </c>
      <c r="G42" s="33">
        <f t="shared" si="1"/>
        <v>2174.883655</v>
      </c>
    </row>
    <row r="43" spans="2:7" ht="12">
      <c r="B43" s="27">
        <v>37</v>
      </c>
      <c r="C43" s="7" t="s">
        <v>127</v>
      </c>
      <c r="D43" s="7" t="s">
        <v>117</v>
      </c>
      <c r="E43" s="12">
        <v>0.00075</v>
      </c>
      <c r="F43" s="14">
        <v>77658.6588</v>
      </c>
      <c r="G43" s="33">
        <f t="shared" si="1"/>
        <v>58.2439941</v>
      </c>
    </row>
    <row r="44" spans="2:7" ht="12">
      <c r="B44" s="27">
        <v>38</v>
      </c>
      <c r="C44" s="7" t="s">
        <v>128</v>
      </c>
      <c r="D44" s="7" t="s">
        <v>117</v>
      </c>
      <c r="E44" s="12">
        <v>0.006168</v>
      </c>
      <c r="F44" s="14">
        <v>90788.7487</v>
      </c>
      <c r="G44" s="33">
        <f t="shared" si="1"/>
        <v>559.9850019816</v>
      </c>
    </row>
    <row r="45" spans="2:7" ht="12">
      <c r="B45" s="27">
        <v>39</v>
      </c>
      <c r="C45" s="7" t="s">
        <v>129</v>
      </c>
      <c r="D45" s="7" t="s">
        <v>117</v>
      </c>
      <c r="E45" s="12">
        <v>0.01</v>
      </c>
      <c r="F45" s="14">
        <v>4743.8068</v>
      </c>
      <c r="G45" s="33">
        <f t="shared" si="1"/>
        <v>47.438068</v>
      </c>
    </row>
    <row r="46" spans="2:7" ht="12">
      <c r="B46" s="27">
        <v>40</v>
      </c>
      <c r="C46" s="7" t="s">
        <v>130</v>
      </c>
      <c r="D46" s="7" t="s">
        <v>120</v>
      </c>
      <c r="E46" s="12">
        <v>0.62</v>
      </c>
      <c r="F46" s="14">
        <v>819.8412999999999</v>
      </c>
      <c r="G46" s="33">
        <f t="shared" si="1"/>
        <v>508.30160599999994</v>
      </c>
    </row>
    <row r="47" spans="2:7" ht="12">
      <c r="B47" s="27">
        <v>41</v>
      </c>
      <c r="C47" s="7" t="s">
        <v>131</v>
      </c>
      <c r="D47" s="7" t="s">
        <v>117</v>
      </c>
      <c r="E47" s="12">
        <v>0.6</v>
      </c>
      <c r="F47" s="14">
        <v>1687.2798</v>
      </c>
      <c r="G47" s="33">
        <f t="shared" si="1"/>
        <v>1012.36788</v>
      </c>
    </row>
    <row r="48" spans="2:7" ht="12">
      <c r="B48" s="27">
        <v>42</v>
      </c>
      <c r="C48" s="7" t="s">
        <v>132</v>
      </c>
      <c r="D48" s="7" t="s">
        <v>133</v>
      </c>
      <c r="E48" s="12">
        <v>105</v>
      </c>
      <c r="F48" s="14">
        <v>91.1271</v>
      </c>
      <c r="G48" s="33">
        <f t="shared" si="1"/>
        <v>9568.3455</v>
      </c>
    </row>
    <row r="49" spans="2:7" ht="24">
      <c r="B49" s="27">
        <v>43</v>
      </c>
      <c r="C49" s="7" t="s">
        <v>134</v>
      </c>
      <c r="D49" s="7" t="s">
        <v>120</v>
      </c>
      <c r="E49" s="12">
        <v>0.1</v>
      </c>
      <c r="F49" s="14">
        <v>3266.6827</v>
      </c>
      <c r="G49" s="33">
        <f t="shared" si="1"/>
        <v>326.66827</v>
      </c>
    </row>
    <row r="50" spans="2:7" ht="24">
      <c r="B50" s="27">
        <v>44</v>
      </c>
      <c r="C50" s="7" t="s">
        <v>135</v>
      </c>
      <c r="D50" s="7" t="s">
        <v>120</v>
      </c>
      <c r="E50" s="12">
        <v>0.3</v>
      </c>
      <c r="F50" s="14">
        <v>3889.4246000000003</v>
      </c>
      <c r="G50" s="33">
        <f t="shared" si="1"/>
        <v>1166.82738</v>
      </c>
    </row>
    <row r="51" spans="2:7" ht="24">
      <c r="B51" s="27">
        <v>45</v>
      </c>
      <c r="C51" s="7" t="s">
        <v>136</v>
      </c>
      <c r="D51" s="7" t="s">
        <v>120</v>
      </c>
      <c r="E51" s="12">
        <v>0.6</v>
      </c>
      <c r="F51" s="14">
        <v>5609.7323</v>
      </c>
      <c r="G51" s="33">
        <f t="shared" si="1"/>
        <v>3365.83938</v>
      </c>
    </row>
    <row r="52" spans="2:7" ht="36">
      <c r="B52" s="27">
        <v>46</v>
      </c>
      <c r="C52" s="7" t="s">
        <v>137</v>
      </c>
      <c r="D52" s="7" t="s">
        <v>120</v>
      </c>
      <c r="E52" s="12">
        <v>0.026969</v>
      </c>
      <c r="F52" s="14">
        <v>12889.7365</v>
      </c>
      <c r="G52" s="33">
        <f t="shared" si="1"/>
        <v>347.6233036685</v>
      </c>
    </row>
    <row r="53" spans="2:7" ht="12">
      <c r="B53" s="27">
        <v>47</v>
      </c>
      <c r="C53" s="7" t="s">
        <v>138</v>
      </c>
      <c r="D53" s="7" t="s">
        <v>117</v>
      </c>
      <c r="E53" s="12">
        <v>0.0228</v>
      </c>
      <c r="F53" s="14">
        <v>3724.4809000000005</v>
      </c>
      <c r="G53" s="33">
        <f t="shared" si="1"/>
        <v>84.91816452000002</v>
      </c>
    </row>
    <row r="54" spans="2:7" ht="12">
      <c r="B54" s="27">
        <v>48</v>
      </c>
      <c r="C54" s="7" t="s">
        <v>139</v>
      </c>
      <c r="D54" s="7" t="s">
        <v>122</v>
      </c>
      <c r="E54" s="12">
        <v>10.2</v>
      </c>
      <c r="F54" s="14">
        <v>232.33450000000002</v>
      </c>
      <c r="G54" s="33">
        <f t="shared" si="1"/>
        <v>2369.8119</v>
      </c>
    </row>
    <row r="55" spans="2:7" ht="12">
      <c r="B55" s="27">
        <v>49</v>
      </c>
      <c r="C55" s="7" t="s">
        <v>140</v>
      </c>
      <c r="D55" s="7" t="s">
        <v>117</v>
      </c>
      <c r="E55" s="12">
        <v>0.058</v>
      </c>
      <c r="F55" s="14">
        <v>41598.128300000004</v>
      </c>
      <c r="G55" s="33">
        <f t="shared" si="1"/>
        <v>2412.6914414000003</v>
      </c>
    </row>
    <row r="56" spans="2:7" ht="24">
      <c r="B56" s="27">
        <v>50</v>
      </c>
      <c r="C56" s="7" t="s">
        <v>141</v>
      </c>
      <c r="D56" s="7" t="s">
        <v>142</v>
      </c>
      <c r="E56" s="12">
        <v>0.8</v>
      </c>
      <c r="F56" s="14">
        <v>11729.8262</v>
      </c>
      <c r="G56" s="33">
        <f t="shared" si="1"/>
        <v>9383.86096</v>
      </c>
    </row>
    <row r="57" spans="2:7" ht="24">
      <c r="B57" s="27">
        <v>51</v>
      </c>
      <c r="C57" s="7" t="s">
        <v>143</v>
      </c>
      <c r="D57" s="7" t="s">
        <v>142</v>
      </c>
      <c r="E57" s="12">
        <v>0.008</v>
      </c>
      <c r="F57" s="14">
        <v>5881.8943</v>
      </c>
      <c r="G57" s="33">
        <f t="shared" si="1"/>
        <v>47.0551544</v>
      </c>
    </row>
    <row r="58" spans="2:7" ht="12">
      <c r="B58" s="27">
        <v>52</v>
      </c>
      <c r="C58" s="7" t="s">
        <v>144</v>
      </c>
      <c r="D58" s="7" t="s">
        <v>117</v>
      </c>
      <c r="E58" s="12">
        <v>8E-06</v>
      </c>
      <c r="F58" s="14">
        <v>376555.3777</v>
      </c>
      <c r="G58" s="33">
        <f t="shared" si="1"/>
        <v>3.0124430215999998</v>
      </c>
    </row>
    <row r="59" spans="2:7" ht="12">
      <c r="B59" s="27">
        <v>53</v>
      </c>
      <c r="C59" s="7" t="s">
        <v>145</v>
      </c>
      <c r="D59" s="7" t="s">
        <v>122</v>
      </c>
      <c r="E59" s="12">
        <v>24.8</v>
      </c>
      <c r="F59" s="14">
        <v>77.9996</v>
      </c>
      <c r="G59" s="33">
        <f t="shared" si="1"/>
        <v>1934.3900800000001</v>
      </c>
    </row>
    <row r="60" spans="2:7" ht="12">
      <c r="B60" s="27">
        <v>54</v>
      </c>
      <c r="C60" s="7" t="s">
        <v>146</v>
      </c>
      <c r="D60" s="7" t="s">
        <v>117</v>
      </c>
      <c r="E60" s="12">
        <v>0.0195</v>
      </c>
      <c r="F60" s="14">
        <v>60535.1033</v>
      </c>
      <c r="G60" s="33">
        <f t="shared" si="1"/>
        <v>1180.43451435</v>
      </c>
    </row>
    <row r="61" spans="2:7" ht="12">
      <c r="B61" s="27">
        <v>55</v>
      </c>
      <c r="C61" s="7" t="s">
        <v>147</v>
      </c>
      <c r="D61" s="7" t="s">
        <v>117</v>
      </c>
      <c r="E61" s="12">
        <v>0.0022</v>
      </c>
      <c r="F61" s="14">
        <v>56857.1694</v>
      </c>
      <c r="G61" s="33">
        <f t="shared" si="1"/>
        <v>125.08577268</v>
      </c>
    </row>
    <row r="62" spans="2:7" ht="12">
      <c r="B62" s="27">
        <v>56</v>
      </c>
      <c r="C62" s="7" t="s">
        <v>148</v>
      </c>
      <c r="D62" s="7" t="s">
        <v>117</v>
      </c>
      <c r="E62" s="12">
        <v>0.0005</v>
      </c>
      <c r="F62" s="14">
        <v>156532.31</v>
      </c>
      <c r="G62" s="33">
        <f t="shared" si="1"/>
        <v>78.266155</v>
      </c>
    </row>
    <row r="63" spans="2:7" ht="12">
      <c r="B63" s="27">
        <v>57</v>
      </c>
      <c r="C63" s="7" t="s">
        <v>149</v>
      </c>
      <c r="D63" s="7" t="s">
        <v>117</v>
      </c>
      <c r="E63" s="12">
        <v>0.201</v>
      </c>
      <c r="F63" s="14">
        <v>22138.3673</v>
      </c>
      <c r="G63" s="33">
        <f t="shared" si="1"/>
        <v>4449.811827300001</v>
      </c>
    </row>
    <row r="64" spans="2:7" ht="12">
      <c r="B64" s="27">
        <v>58</v>
      </c>
      <c r="C64" s="7" t="s">
        <v>150</v>
      </c>
      <c r="D64" s="7" t="s">
        <v>117</v>
      </c>
      <c r="E64" s="12">
        <v>0.0016</v>
      </c>
      <c r="F64" s="14">
        <v>6595.8879</v>
      </c>
      <c r="G64" s="33">
        <f t="shared" si="1"/>
        <v>10.55342064</v>
      </c>
    </row>
    <row r="65" spans="2:7" ht="12">
      <c r="B65" s="27">
        <v>59</v>
      </c>
      <c r="C65" s="7" t="s">
        <v>151</v>
      </c>
      <c r="D65" s="7" t="s">
        <v>117</v>
      </c>
      <c r="E65" s="12">
        <v>0.0007</v>
      </c>
      <c r="F65" s="14">
        <v>55618.8145</v>
      </c>
      <c r="G65" s="33">
        <f t="shared" si="1"/>
        <v>38.93317015</v>
      </c>
    </row>
    <row r="66" spans="2:7" ht="12">
      <c r="B66" s="27">
        <v>60</v>
      </c>
      <c r="C66" s="7" t="s">
        <v>152</v>
      </c>
      <c r="D66" s="7" t="s">
        <v>122</v>
      </c>
      <c r="E66" s="12">
        <v>4.8</v>
      </c>
      <c r="F66" s="31">
        <v>90</v>
      </c>
      <c r="G66" s="33">
        <f t="shared" si="1"/>
        <v>432</v>
      </c>
    </row>
    <row r="67" spans="2:7" ht="12">
      <c r="B67" s="27">
        <v>61</v>
      </c>
      <c r="C67" s="7" t="s">
        <v>153</v>
      </c>
      <c r="D67" s="7" t="s">
        <v>122</v>
      </c>
      <c r="E67" s="12">
        <v>0.508</v>
      </c>
      <c r="F67" s="14">
        <v>65.1569</v>
      </c>
      <c r="G67" s="33">
        <f t="shared" si="1"/>
        <v>33.099705199999995</v>
      </c>
    </row>
    <row r="68" spans="2:7" ht="12">
      <c r="B68" s="27">
        <v>62</v>
      </c>
      <c r="C68" s="7" t="s">
        <v>154</v>
      </c>
      <c r="D68" s="7" t="s">
        <v>117</v>
      </c>
      <c r="E68" s="12">
        <v>0.0035</v>
      </c>
      <c r="F68" s="14">
        <v>170216.7008</v>
      </c>
      <c r="G68" s="33">
        <f aca="true" t="shared" si="2" ref="G68:G93">E68*F68</f>
        <v>595.7584528</v>
      </c>
    </row>
    <row r="69" spans="2:7" ht="12">
      <c r="B69" s="27">
        <v>63</v>
      </c>
      <c r="C69" s="7" t="s">
        <v>155</v>
      </c>
      <c r="D69" s="7" t="s">
        <v>117</v>
      </c>
      <c r="E69" s="12">
        <v>0.0097</v>
      </c>
      <c r="F69" s="14">
        <v>80957.97780000001</v>
      </c>
      <c r="G69" s="33">
        <f t="shared" si="2"/>
        <v>785.2923846600002</v>
      </c>
    </row>
    <row r="70" spans="2:7" ht="12">
      <c r="B70" s="27">
        <v>64</v>
      </c>
      <c r="C70" s="7" t="s">
        <v>156</v>
      </c>
      <c r="D70" s="7" t="s">
        <v>117</v>
      </c>
      <c r="E70" s="12">
        <v>0.0092</v>
      </c>
      <c r="F70" s="14">
        <v>75559.79849999999</v>
      </c>
      <c r="G70" s="33">
        <f t="shared" si="2"/>
        <v>695.1501461999999</v>
      </c>
    </row>
    <row r="71" spans="2:7" ht="12">
      <c r="B71" s="27">
        <v>65</v>
      </c>
      <c r="C71" s="7" t="s">
        <v>157</v>
      </c>
      <c r="D71" s="7" t="s">
        <v>122</v>
      </c>
      <c r="E71" s="12">
        <v>8.48</v>
      </c>
      <c r="F71" s="14">
        <v>187.434</v>
      </c>
      <c r="G71" s="33">
        <f t="shared" si="2"/>
        <v>1589.4403200000002</v>
      </c>
    </row>
    <row r="72" spans="2:7" ht="12">
      <c r="B72" s="27">
        <v>66</v>
      </c>
      <c r="C72" s="7" t="s">
        <v>158</v>
      </c>
      <c r="D72" s="7" t="s">
        <v>122</v>
      </c>
      <c r="E72" s="12">
        <v>84.8</v>
      </c>
      <c r="F72" s="14">
        <v>50.7033</v>
      </c>
      <c r="G72" s="33">
        <f t="shared" si="2"/>
        <v>4299.63984</v>
      </c>
    </row>
    <row r="73" spans="2:7" ht="12">
      <c r="B73" s="27">
        <v>67</v>
      </c>
      <c r="C73" s="7" t="s">
        <v>159</v>
      </c>
      <c r="D73" s="7" t="s">
        <v>117</v>
      </c>
      <c r="E73" s="12">
        <v>0.0225</v>
      </c>
      <c r="F73" s="14">
        <v>4837.2123</v>
      </c>
      <c r="G73" s="33">
        <f t="shared" si="2"/>
        <v>108.83727675</v>
      </c>
    </row>
    <row r="74" spans="2:7" ht="24">
      <c r="B74" s="27">
        <v>68</v>
      </c>
      <c r="C74" s="7" t="s">
        <v>160</v>
      </c>
      <c r="D74" s="7" t="s">
        <v>120</v>
      </c>
      <c r="E74" s="12">
        <v>0.00128</v>
      </c>
      <c r="F74" s="14">
        <v>687.4004</v>
      </c>
      <c r="G74" s="33">
        <f t="shared" si="2"/>
        <v>0.879872512</v>
      </c>
    </row>
    <row r="75" spans="2:7" ht="12">
      <c r="B75" s="27">
        <v>69</v>
      </c>
      <c r="C75" s="7" t="s">
        <v>161</v>
      </c>
      <c r="D75" s="7" t="s">
        <v>120</v>
      </c>
      <c r="E75" s="12">
        <v>0.713</v>
      </c>
      <c r="F75" s="14">
        <v>916.5576</v>
      </c>
      <c r="G75" s="33">
        <f t="shared" si="2"/>
        <v>653.5055688</v>
      </c>
    </row>
    <row r="76" spans="2:7" ht="12">
      <c r="B76" s="27">
        <v>70</v>
      </c>
      <c r="C76" s="7" t="s">
        <v>162</v>
      </c>
      <c r="D76" s="7" t="s">
        <v>122</v>
      </c>
      <c r="E76" s="12">
        <v>0.62</v>
      </c>
      <c r="F76" s="14">
        <v>287.9862</v>
      </c>
      <c r="G76" s="33">
        <f t="shared" si="2"/>
        <v>178.551444</v>
      </c>
    </row>
    <row r="77" spans="2:7" ht="12">
      <c r="B77" s="27">
        <v>71</v>
      </c>
      <c r="C77" s="7" t="s">
        <v>163</v>
      </c>
      <c r="D77" s="7" t="s">
        <v>120</v>
      </c>
      <c r="E77" s="12">
        <v>10.3</v>
      </c>
      <c r="F77" s="14">
        <v>1412.0294999999999</v>
      </c>
      <c r="G77" s="33">
        <f t="shared" si="2"/>
        <v>14543.903849999999</v>
      </c>
    </row>
    <row r="78" spans="2:7" ht="24">
      <c r="B78" s="27">
        <v>72</v>
      </c>
      <c r="C78" s="7" t="s">
        <v>164</v>
      </c>
      <c r="D78" s="7" t="s">
        <v>117</v>
      </c>
      <c r="E78" s="12">
        <v>0.00032</v>
      </c>
      <c r="F78" s="14">
        <v>43925.9945</v>
      </c>
      <c r="G78" s="33">
        <f t="shared" si="2"/>
        <v>14.056318240000001</v>
      </c>
    </row>
    <row r="79" spans="2:7" ht="12">
      <c r="B79" s="27">
        <v>73</v>
      </c>
      <c r="C79" s="7" t="s">
        <v>165</v>
      </c>
      <c r="D79" s="7" t="s">
        <v>120</v>
      </c>
      <c r="E79" s="12">
        <v>0.11</v>
      </c>
      <c r="F79" s="14">
        <v>2870.2144000000003</v>
      </c>
      <c r="G79" s="33">
        <f t="shared" si="2"/>
        <v>315.723584</v>
      </c>
    </row>
    <row r="80" spans="2:7" ht="12">
      <c r="B80" s="27">
        <v>74</v>
      </c>
      <c r="C80" s="7" t="s">
        <v>166</v>
      </c>
      <c r="D80" s="7" t="s">
        <v>167</v>
      </c>
      <c r="E80" s="12">
        <v>320</v>
      </c>
      <c r="F80" s="14">
        <v>19.6067</v>
      </c>
      <c r="G80" s="33">
        <f t="shared" si="2"/>
        <v>6274.144</v>
      </c>
    </row>
    <row r="81" spans="2:7" ht="12">
      <c r="B81" s="27">
        <v>75</v>
      </c>
      <c r="C81" s="7" t="s">
        <v>168</v>
      </c>
      <c r="D81" s="7" t="s">
        <v>117</v>
      </c>
      <c r="E81" s="12">
        <v>3E-05</v>
      </c>
      <c r="F81" s="14">
        <v>130453.7169</v>
      </c>
      <c r="G81" s="33">
        <f t="shared" si="2"/>
        <v>3.913611507</v>
      </c>
    </row>
    <row r="82" spans="2:7" ht="12">
      <c r="B82" s="27">
        <v>76</v>
      </c>
      <c r="C82" s="7" t="s">
        <v>169</v>
      </c>
      <c r="D82" s="7" t="s">
        <v>117</v>
      </c>
      <c r="E82" s="12">
        <v>8E-05</v>
      </c>
      <c r="F82" s="14">
        <v>194749.7733</v>
      </c>
      <c r="G82" s="33">
        <f t="shared" si="2"/>
        <v>15.579981864</v>
      </c>
    </row>
    <row r="83" spans="2:7" ht="12">
      <c r="B83" s="27">
        <v>77</v>
      </c>
      <c r="C83" s="7" t="s">
        <v>170</v>
      </c>
      <c r="D83" s="7" t="s">
        <v>117</v>
      </c>
      <c r="E83" s="12">
        <v>0.1047</v>
      </c>
      <c r="F83" s="14">
        <v>35572.8817</v>
      </c>
      <c r="G83" s="33">
        <f t="shared" si="2"/>
        <v>3724.48071399</v>
      </c>
    </row>
    <row r="84" spans="2:7" ht="24">
      <c r="B84" s="27">
        <v>78</v>
      </c>
      <c r="C84" s="7" t="s">
        <v>171</v>
      </c>
      <c r="D84" s="7" t="s">
        <v>126</v>
      </c>
      <c r="E84" s="12">
        <v>17.16666667</v>
      </c>
      <c r="F84" s="14">
        <v>240.79840000000002</v>
      </c>
      <c r="G84" s="33">
        <f t="shared" si="2"/>
        <v>4133.705867469329</v>
      </c>
    </row>
    <row r="85" spans="2:7" ht="12">
      <c r="B85" s="27">
        <v>79</v>
      </c>
      <c r="C85" s="7" t="s">
        <v>172</v>
      </c>
      <c r="D85" s="7" t="s">
        <v>117</v>
      </c>
      <c r="E85" s="12">
        <v>0.00081</v>
      </c>
      <c r="F85" s="14">
        <v>71478.8815</v>
      </c>
      <c r="G85" s="33">
        <f t="shared" si="2"/>
        <v>57.897894015</v>
      </c>
    </row>
    <row r="86" spans="2:7" ht="12">
      <c r="B86" s="27">
        <v>80</v>
      </c>
      <c r="C86" s="7" t="s">
        <v>173</v>
      </c>
      <c r="D86" s="7" t="s">
        <v>174</v>
      </c>
      <c r="E86" s="12">
        <v>1.723</v>
      </c>
      <c r="F86" s="14">
        <v>422.1092</v>
      </c>
      <c r="G86" s="33">
        <f t="shared" si="2"/>
        <v>727.2941516</v>
      </c>
    </row>
    <row r="87" spans="2:7" ht="12">
      <c r="B87" s="27">
        <v>81</v>
      </c>
      <c r="C87" s="7" t="s">
        <v>175</v>
      </c>
      <c r="D87" s="7" t="s">
        <v>176</v>
      </c>
      <c r="E87" s="12">
        <v>0.005</v>
      </c>
      <c r="F87" s="14">
        <v>102618.2727</v>
      </c>
      <c r="G87" s="33">
        <f t="shared" si="2"/>
        <v>513.0913635</v>
      </c>
    </row>
    <row r="88" spans="2:7" ht="12">
      <c r="B88" s="27">
        <v>82</v>
      </c>
      <c r="C88" s="7" t="s">
        <v>177</v>
      </c>
      <c r="D88" s="7" t="s">
        <v>126</v>
      </c>
      <c r="E88" s="12">
        <v>0.2</v>
      </c>
      <c r="F88" s="14">
        <v>247.5268</v>
      </c>
      <c r="G88" s="33">
        <f t="shared" si="2"/>
        <v>49.50536</v>
      </c>
    </row>
    <row r="89" spans="2:7" ht="12">
      <c r="B89" s="27">
        <v>83</v>
      </c>
      <c r="C89" s="7" t="s">
        <v>178</v>
      </c>
      <c r="D89" s="7" t="s">
        <v>122</v>
      </c>
      <c r="E89" s="12">
        <v>0.82</v>
      </c>
      <c r="F89" s="14">
        <v>73.3004</v>
      </c>
      <c r="G89" s="33">
        <f t="shared" si="2"/>
        <v>60.10632799999999</v>
      </c>
    </row>
    <row r="90" spans="2:7" ht="12">
      <c r="B90" s="27">
        <v>84</v>
      </c>
      <c r="C90" s="7" t="s">
        <v>179</v>
      </c>
      <c r="D90" s="7" t="s">
        <v>117</v>
      </c>
      <c r="E90" s="12">
        <v>0.005</v>
      </c>
      <c r="F90" s="14">
        <v>15807.619299999998</v>
      </c>
      <c r="G90" s="33">
        <f t="shared" si="2"/>
        <v>79.0380965</v>
      </c>
    </row>
    <row r="91" spans="2:7" ht="12">
      <c r="B91" s="27">
        <v>85</v>
      </c>
      <c r="C91" s="7" t="s">
        <v>180</v>
      </c>
      <c r="D91" s="7" t="s">
        <v>117</v>
      </c>
      <c r="E91" s="12">
        <v>0.015</v>
      </c>
      <c r="F91" s="14">
        <v>13658.5897</v>
      </c>
      <c r="G91" s="33">
        <f t="shared" si="2"/>
        <v>204.8788455</v>
      </c>
    </row>
    <row r="92" spans="2:7" ht="12">
      <c r="B92" s="27">
        <v>86</v>
      </c>
      <c r="C92" s="7" t="s">
        <v>181</v>
      </c>
      <c r="D92" s="7" t="s">
        <v>133</v>
      </c>
      <c r="E92" s="12">
        <v>102</v>
      </c>
      <c r="F92" s="14">
        <v>13.750499999999999</v>
      </c>
      <c r="G92" s="33">
        <f t="shared" si="2"/>
        <v>1402.551</v>
      </c>
    </row>
    <row r="93" spans="2:7" ht="12">
      <c r="B93" s="27">
        <v>87</v>
      </c>
      <c r="C93" s="7" t="s">
        <v>182</v>
      </c>
      <c r="D93" s="7" t="s">
        <v>117</v>
      </c>
      <c r="E93" s="12">
        <v>0.0023</v>
      </c>
      <c r="F93" s="14">
        <v>60520.6586</v>
      </c>
      <c r="G93" s="33">
        <f t="shared" si="2"/>
        <v>139.19751478</v>
      </c>
    </row>
    <row r="94" spans="2:7" ht="12">
      <c r="B94" s="53" t="s">
        <v>114</v>
      </c>
      <c r="C94" s="54"/>
      <c r="D94" s="54"/>
      <c r="E94" s="54"/>
      <c r="F94" s="55"/>
      <c r="G94" s="34">
        <f>SUM(G36:G93)</f>
        <v>98032.169050879</v>
      </c>
    </row>
    <row r="95" spans="2:7" ht="16.5">
      <c r="B95" s="56" t="s">
        <v>183</v>
      </c>
      <c r="C95" s="56"/>
      <c r="D95" s="56"/>
      <c r="E95" s="56"/>
      <c r="F95" s="56"/>
      <c r="G95" s="56"/>
    </row>
    <row r="96" spans="2:7" ht="12">
      <c r="B96" s="26">
        <v>88</v>
      </c>
      <c r="C96" s="28" t="s">
        <v>184</v>
      </c>
      <c r="D96" s="28" t="s">
        <v>185</v>
      </c>
      <c r="E96" s="29">
        <v>0.1499</v>
      </c>
      <c r="F96" s="30">
        <v>120</v>
      </c>
      <c r="G96" s="32">
        <f aca="true" t="shared" si="3" ref="G96:G105">E96*F96</f>
        <v>17.988</v>
      </c>
    </row>
    <row r="97" spans="2:7" ht="12">
      <c r="B97" s="27">
        <v>89</v>
      </c>
      <c r="C97" s="7" t="s">
        <v>186</v>
      </c>
      <c r="D97" s="7" t="s">
        <v>185</v>
      </c>
      <c r="E97" s="12">
        <v>1.482</v>
      </c>
      <c r="F97" s="31">
        <v>100</v>
      </c>
      <c r="G97" s="33">
        <f t="shared" si="3"/>
        <v>148.2</v>
      </c>
    </row>
    <row r="98" spans="2:7" ht="12">
      <c r="B98" s="27">
        <v>90</v>
      </c>
      <c r="C98" s="7" t="s">
        <v>187</v>
      </c>
      <c r="D98" s="7" t="s">
        <v>185</v>
      </c>
      <c r="E98" s="12">
        <v>0.05</v>
      </c>
      <c r="F98" s="31">
        <v>227.5</v>
      </c>
      <c r="G98" s="33">
        <f t="shared" si="3"/>
        <v>11.375</v>
      </c>
    </row>
    <row r="99" spans="2:7" ht="12">
      <c r="B99" s="27">
        <v>91</v>
      </c>
      <c r="C99" s="7" t="s">
        <v>188</v>
      </c>
      <c r="D99" s="7" t="s">
        <v>185</v>
      </c>
      <c r="E99" s="12">
        <v>0.01</v>
      </c>
      <c r="F99" s="31">
        <v>250</v>
      </c>
      <c r="G99" s="33">
        <f t="shared" si="3"/>
        <v>2.5</v>
      </c>
    </row>
    <row r="100" spans="2:7" ht="12">
      <c r="B100" s="27">
        <v>92</v>
      </c>
      <c r="C100" s="7" t="s">
        <v>189</v>
      </c>
      <c r="D100" s="7" t="s">
        <v>185</v>
      </c>
      <c r="E100" s="12">
        <v>3.313</v>
      </c>
      <c r="F100" s="31">
        <v>120</v>
      </c>
      <c r="G100" s="33">
        <f t="shared" si="3"/>
        <v>397.56</v>
      </c>
    </row>
    <row r="101" spans="2:7" ht="12">
      <c r="B101" s="27">
        <v>93</v>
      </c>
      <c r="C101" s="7" t="s">
        <v>190</v>
      </c>
      <c r="D101" s="7" t="s">
        <v>185</v>
      </c>
      <c r="E101" s="12">
        <v>0.03</v>
      </c>
      <c r="F101" s="31">
        <v>643.5</v>
      </c>
      <c r="G101" s="33">
        <f t="shared" si="3"/>
        <v>19.305</v>
      </c>
    </row>
    <row r="102" spans="2:7" ht="12">
      <c r="B102" s="27">
        <v>94</v>
      </c>
      <c r="C102" s="7" t="s">
        <v>191</v>
      </c>
      <c r="D102" s="7" t="s">
        <v>185</v>
      </c>
      <c r="E102" s="12">
        <v>0.06175</v>
      </c>
      <c r="F102" s="31">
        <v>90</v>
      </c>
      <c r="G102" s="33">
        <f t="shared" si="3"/>
        <v>5.5575</v>
      </c>
    </row>
    <row r="103" spans="2:7" ht="12">
      <c r="B103" s="27">
        <v>95</v>
      </c>
      <c r="C103" s="7" t="s">
        <v>192</v>
      </c>
      <c r="D103" s="7" t="s">
        <v>185</v>
      </c>
      <c r="E103" s="12">
        <v>0.05</v>
      </c>
      <c r="F103" s="31">
        <v>2906</v>
      </c>
      <c r="G103" s="33">
        <f t="shared" si="3"/>
        <v>145.3</v>
      </c>
    </row>
    <row r="104" spans="2:7" ht="12">
      <c r="B104" s="27">
        <v>96</v>
      </c>
      <c r="C104" s="7" t="s">
        <v>193</v>
      </c>
      <c r="D104" s="7" t="s">
        <v>185</v>
      </c>
      <c r="E104" s="12">
        <v>0.0264</v>
      </c>
      <c r="F104" s="31">
        <v>166</v>
      </c>
      <c r="G104" s="33">
        <f t="shared" si="3"/>
        <v>4.3824</v>
      </c>
    </row>
    <row r="105" spans="2:7" ht="12">
      <c r="B105" s="27">
        <v>97</v>
      </c>
      <c r="C105" s="7" t="s">
        <v>194</v>
      </c>
      <c r="D105" s="7" t="s">
        <v>185</v>
      </c>
      <c r="E105" s="12">
        <v>0.0264</v>
      </c>
      <c r="F105" s="31">
        <v>294</v>
      </c>
      <c r="G105" s="33">
        <f t="shared" si="3"/>
        <v>7.7616</v>
      </c>
    </row>
    <row r="106" spans="2:7" ht="12">
      <c r="B106" s="53" t="s">
        <v>114</v>
      </c>
      <c r="C106" s="54"/>
      <c r="D106" s="54"/>
      <c r="E106" s="54"/>
      <c r="F106" s="55"/>
      <c r="G106" s="34">
        <f>SUM(G96:G105)</f>
        <v>759.9295</v>
      </c>
    </row>
    <row r="107" spans="2:7" ht="16.5">
      <c r="B107" s="56" t="s">
        <v>195</v>
      </c>
      <c r="C107" s="56"/>
      <c r="D107" s="56"/>
      <c r="E107" s="56"/>
      <c r="F107" s="56"/>
      <c r="G107" s="56"/>
    </row>
    <row r="108" spans="2:7" ht="24">
      <c r="B108" s="26">
        <v>98</v>
      </c>
      <c r="C108" s="28" t="s">
        <v>196</v>
      </c>
      <c r="D108" s="28" t="s">
        <v>197</v>
      </c>
      <c r="E108" s="29">
        <v>1.84</v>
      </c>
      <c r="F108" s="35">
        <v>117.312</v>
      </c>
      <c r="G108" s="32">
        <f>E108*F108</f>
        <v>215.85408</v>
      </c>
    </row>
    <row r="109" spans="2:7" ht="24">
      <c r="B109" s="27">
        <v>99</v>
      </c>
      <c r="C109" s="7" t="s">
        <v>198</v>
      </c>
      <c r="D109" s="7" t="s">
        <v>197</v>
      </c>
      <c r="E109" s="12">
        <v>0.55</v>
      </c>
      <c r="F109" s="14">
        <v>946.8055999999999</v>
      </c>
      <c r="G109" s="33">
        <f>E109*F109</f>
        <v>520.74308</v>
      </c>
    </row>
    <row r="110" spans="2:7" ht="12">
      <c r="B110" s="27">
        <v>100</v>
      </c>
      <c r="C110" s="7" t="s">
        <v>199</v>
      </c>
      <c r="D110" s="7" t="s">
        <v>200</v>
      </c>
      <c r="E110" s="12">
        <v>1.06</v>
      </c>
      <c r="F110" s="14">
        <v>373.76279999999997</v>
      </c>
      <c r="G110" s="33">
        <f>E110*F110</f>
        <v>396.188568</v>
      </c>
    </row>
    <row r="111" spans="2:7" ht="12">
      <c r="B111" s="53" t="s">
        <v>114</v>
      </c>
      <c r="C111" s="54"/>
      <c r="D111" s="54"/>
      <c r="E111" s="54"/>
      <c r="F111" s="55"/>
      <c r="G111" s="34">
        <f>SUM(G108:G110)</f>
        <v>1132.785728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06:F106"/>
    <mergeCell ref="B107:G107"/>
    <mergeCell ref="B111:F111"/>
    <mergeCell ref="B1:G1"/>
    <mergeCell ref="B4:G4"/>
    <mergeCell ref="B34:F34"/>
    <mergeCell ref="B35:G35"/>
    <mergeCell ref="B94:F94"/>
    <mergeCell ref="B95:G95"/>
  </mergeCells>
  <printOptions/>
  <pageMargins left="0.35" right="0.35" top="0.35" bottom="0.35" header="0.3" footer="0.3"/>
  <pageSetup fitToHeight="0" fitToWidth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sishipicina</cp:lastModifiedBy>
  <dcterms:created xsi:type="dcterms:W3CDTF">2021-05-04T05:43:50Z</dcterms:created>
  <dcterms:modified xsi:type="dcterms:W3CDTF">2021-05-04T02:49:35Z</dcterms:modified>
  <cp:category>ÑÐ¼ÐµÑ‚Ð°</cp:category>
  <cp:version/>
  <cp:contentType/>
  <cp:contentStatus/>
</cp:coreProperties>
</file>