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'Работы'!$10:$10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<sst xmlns="http://schemas.openxmlformats.org/spreadsheetml/2006/main" count="438" uniqueCount="292">
  <si>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</si>
  <si>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</si>
  <si>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</si>
  <si>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</si>
  <si>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</si>
  <si>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</si>
  <si>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</si>
  <si>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</si>
  <si>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</si>
  <si>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</si>
  <si>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</si>
  <si>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</si>
  <si>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</si>
  <si>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</si>
  <si>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</si>
  <si>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Конструктивные элементы</t>
  </si>
  <si>
    <t>Прочистка внутридомовых и наружных  дренажей</t>
  </si>
  <si>
    <t>1 пролет</t>
  </si>
  <si>
    <t>Замена неисправных участков электрической сети (скрытая проводка) при числе и сечении жил в проводе  2x1,5 и 2x2,5 кв.м.</t>
  </si>
  <si>
    <t>100 пог.м</t>
  </si>
  <si>
    <t>Замена неисправных участков сети электрической сети (открытая проводка) при числе и сечении жил в проводе 2х1,5 и 2х2,5 кв.м</t>
  </si>
  <si>
    <t>100 шт.</t>
  </si>
  <si>
    <t>Восстановление (ремонт)  решеток на  продухах  фундамента</t>
  </si>
  <si>
    <t>100 решеток</t>
  </si>
  <si>
    <t>Утепление потолка подвала при толщине утеплителя 60 мм</t>
  </si>
  <si>
    <t>100 кв.м. утепляемой поверхности</t>
  </si>
  <si>
    <t>Заделка на зиму вентиляционных продухов</t>
  </si>
  <si>
    <t>1 место</t>
  </si>
  <si>
    <t>Восстановление (ремонт) бетонной отмостки толщиной 15 см</t>
  </si>
  <si>
    <t>100 м2 отмостки</t>
  </si>
  <si>
    <t>100 м2 окрашенной поверхности</t>
  </si>
  <si>
    <t>Простая масляная окраска ранее окрашенных поверхностей</t>
  </si>
  <si>
    <t>Ремонт внутренней штукатурки потолков отдельными местами</t>
  </si>
  <si>
    <t>100 кв. м</t>
  </si>
  <si>
    <t>Перетирка штукатурки поверхности потолков</t>
  </si>
  <si>
    <t>100 кв.м</t>
  </si>
  <si>
    <t>Известковая окраска ранее окрашенных поверхностей потолков</t>
  </si>
  <si>
    <t>Перетирка штукатурки поверхностей стен и перегородок</t>
  </si>
  <si>
    <t>100 м2 поверхности</t>
  </si>
  <si>
    <t>Восстановление козырьков</t>
  </si>
  <si>
    <t>кв.м.</t>
  </si>
  <si>
    <t>Укрепление существующей подшивки потолка</t>
  </si>
  <si>
    <t>100 м2 подшивки</t>
  </si>
  <si>
    <t>Заделка выбоин в цементных полах</t>
  </si>
  <si>
    <t>Ремонт бетонных полов</t>
  </si>
  <si>
    <t>Заделка  щелей, швов и стыков в перегородках</t>
  </si>
  <si>
    <t>100 м трещин</t>
  </si>
  <si>
    <t>Окраска перегородок известковыми составами</t>
  </si>
  <si>
    <t>100 кв.м.</t>
  </si>
  <si>
    <t>Ремонт дверных коробок в широких каменных стенах</t>
  </si>
  <si>
    <t>10 коробок</t>
  </si>
  <si>
    <t>Простая масляная окраска дверей</t>
  </si>
  <si>
    <t>Итого по разделу:</t>
  </si>
  <si>
    <t>Внутридомовое инженерное оборудование и технические устройства</t>
  </si>
  <si>
    <t>Утепление трубопровода центрального отопления (водоснабжения)</t>
  </si>
  <si>
    <t>100 м2 утепленного участка</t>
  </si>
  <si>
    <t>Заделка стыков соединений стояков внутренних водостоков</t>
  </si>
  <si>
    <t>100 соединений</t>
  </si>
  <si>
    <t>Техническое обслуживание внутридомовых газопроводов диаметром 50-75 мм</t>
  </si>
  <si>
    <t>100 пог. м.</t>
  </si>
  <si>
    <t>Устранение неплотности соединений газопровода диаметром 50 мм</t>
  </si>
  <si>
    <t>1 соединение</t>
  </si>
  <si>
    <t>Проверка работоспособности и смазка отключающих устройств</t>
  </si>
  <si>
    <t>1 устройство</t>
  </si>
  <si>
    <t>Визуальная проверка (осмотр) газового оборудования</t>
  </si>
  <si>
    <t>1 оборудование</t>
  </si>
  <si>
    <t>Разборка и смазка кранов</t>
  </si>
  <si>
    <t>1 кран</t>
  </si>
  <si>
    <t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их наладка и регулировка</t>
  </si>
  <si>
    <t>Замена лампы накаливания на энергосберегательную</t>
  </si>
  <si>
    <t>1 лампа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</si>
  <si>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</si>
  <si>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</si>
  <si>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</si>
  <si>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кирпичных и железобетонных стен, фасадов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</si>
  <si>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</si>
  <si>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</si>
  <si>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</si>
  <si>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</si>
  <si>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</si>
  <si>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</si>
  <si>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</si>
  <si>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</si>
  <si>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</si>
  <si>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</si>
  <si>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</si>
  <si>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</si>
  <si>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</si>
  <si>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</si>
  <si>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Визуальный осмотр прибора учета воды диаметром 50-250 мм и проверка наличия и нарушения пломб</t>
  </si>
  <si>
    <t>1 прибор учета</t>
  </si>
  <si>
    <t>Проверка работоспособности запорной арматуры и очистка фильтра (узел учета тепловой энергии диаметром 50-250 мм)</t>
  </si>
  <si>
    <t>1 фильтр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</si>
  <si>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</si>
  <si>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</si>
  <si>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</si>
  <si>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</si>
  <si>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</si>
  <si>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Подметание лестничных площадок и маршей выше третьего этажа с предварительным их увлажнением (в доме без лифтов и мусоропровода)</t>
  </si>
  <si>
    <t>100 м2  убираемой  площади</t>
  </si>
  <si>
    <t>Мытье  лестничных площадок и маршей нижних трех этажей (в доме без лифтов и мусоропровода)</t>
  </si>
  <si>
    <t>Мытье  лестничных площадок и маршей  выше третьего этажа (в доме без лифтов и мусоропровода)</t>
  </si>
  <si>
    <t>Обработка дезинфицирующим средством перил и/или поручней</t>
  </si>
  <si>
    <t>100 кв.м. перил лестниц</t>
  </si>
  <si>
    <t>Подметание в летний период  земельного участка с усовершенствованным покрытием 2 класса</t>
  </si>
  <si>
    <t>1 000 кв.м. территории</t>
  </si>
  <si>
    <t>Простая масляная окраска металлических поверхностей скамьи чугунной со спинкой</t>
  </si>
  <si>
    <t>1 скамья</t>
  </si>
  <si>
    <t>Сдвижка и подметание снега при отсутствии снегопада на придомовой территории с усовершенствованным покрытием 2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</si>
  <si>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</si>
  <si>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2 класса</t>
  </si>
  <si>
    <t>Очистка кровли от снега, сбивание сосулек (при толщине слоя до 10 см)</t>
  </si>
  <si>
    <t>100 кв.м. кровли</t>
  </si>
  <si>
    <t>Сдвигание снега и скола, сброшенного с крыш</t>
  </si>
  <si>
    <t>1 куб.м.</t>
  </si>
  <si>
    <t>Срезание и сдвигание уплотненного снега толщиной слоя до 2 см плугом с одновременным подметанием щеткой</t>
  </si>
  <si>
    <t>1000 м2</t>
  </si>
  <si>
    <t>Отбрасывание снега на обочину средствами малой механизации</t>
  </si>
  <si>
    <t>100 м3</t>
  </si>
  <si>
    <t>Ручная очистка территорий II класса с усовершенствованными покрытиями от уплотненного снега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</si>
  <si>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</si>
  <si>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</si>
  <si>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</si>
  <si>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</si>
  <si>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</si>
  <si>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</si>
  <si>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</si>
  <si>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</si>
  <si>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</si>
  <si>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</si>
  <si>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</si>
  <si>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</si>
  <si>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</si>
  <si>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</si>
  <si>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2 разряда</t>
  </si>
  <si>
    <t>чел.-час</t>
  </si>
  <si>
    <t>Бетонщик 2.4 разряда</t>
  </si>
  <si>
    <t>Бетонщик 3 разряда</t>
  </si>
  <si>
    <t>Бетонщик 4 разряда</t>
  </si>
  <si>
    <t>Дворник 1 разряда</t>
  </si>
  <si>
    <t>Изолировщик на термоизоляции 2 разряда</t>
  </si>
  <si>
    <t>Изолировщик на термоизоляции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</si>
  <si>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</si>
  <si>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</si>
  <si>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4 разряда</t>
  </si>
  <si>
    <t>Кровельщик по стальным кровлям 3 разряда</t>
  </si>
  <si>
    <t>Маляр 2 разряда</t>
  </si>
  <si>
    <t>Маляр 3 разряда</t>
  </si>
  <si>
    <t>Монтажник санитарно-технических систем и оборудования 4 разряда</t>
  </si>
  <si>
    <t>Плотник 2 разряда</t>
  </si>
  <si>
    <t>Плотник 3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</si>
  <si>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</si>
  <si>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</si>
  <si>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2.5 разряда</t>
  </si>
  <si>
    <t>Рабочий по комплексному обслуживанию и ремонту зданий 3.7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</si>
  <si>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</si>
  <si>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</si>
  <si>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</si>
  <si>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</si>
  <si>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</si>
  <si>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</si>
  <si>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</si>
  <si>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Столяр строительный 4 разряда</t>
  </si>
  <si>
    <t>Уборщик мусоропроводов 1 разряда</t>
  </si>
  <si>
    <t>Чистильщик дымоходов, боровок и топок 4 разряда</t>
  </si>
  <si>
    <t>Штукатур 2 разряда</t>
  </si>
  <si>
    <t>Штукатур 3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</si>
  <si>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</si>
  <si>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</si>
  <si>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</si>
  <si>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</si>
  <si>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</si>
  <si>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</si>
  <si>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</si>
  <si>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</si>
  <si>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</si>
  <si>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Анкерные детали из стержней с резьбой</t>
  </si>
  <si>
    <t>т</t>
  </si>
  <si>
    <t>Белила</t>
  </si>
  <si>
    <t>Бетон тяжелый, класс В 30 (М400)</t>
  </si>
  <si>
    <t>м3</t>
  </si>
  <si>
    <t>Бетон тяжелый, крупность заполнителя 20 мм, класс В15 (М200)</t>
  </si>
  <si>
    <t>Бруски обрезные длиной 2-3.75 м, шириной 75-150 мм, толщиной 40-75 мм II сорта</t>
  </si>
  <si>
    <t>Бруски обрезные хвойных пород длиной 2 - 6,5 м, толщиной 40 - 60 мм II сорта</t>
  </si>
  <si>
    <t>Ветошь</t>
  </si>
  <si>
    <t>кг</t>
  </si>
  <si>
    <t>Вода водопроводная</t>
  </si>
  <si>
    <t>Войлок строительный</t>
  </si>
  <si>
    <t>Войлок строительный толщиной 15 мм</t>
  </si>
  <si>
    <t>м2</t>
  </si>
  <si>
    <t>Волокно целлюлозное типа Виатон-66</t>
  </si>
  <si>
    <t>Втулка полиэтиленовая изолирующая</t>
  </si>
  <si>
    <t>шт.</t>
  </si>
  <si>
    <t>Выключатель одноклавишный</t>
  </si>
  <si>
    <t>10 шт.</t>
  </si>
  <si>
    <t>Гвозди строительные</t>
  </si>
  <si>
    <t>Гвозди строительные с плоской головкой 1,8 x 50 мм</t>
  </si>
  <si>
    <t>Гипсовые вяжущие Г-3</t>
  </si>
  <si>
    <t xml:space="preserve">Глина  </t>
  </si>
  <si>
    <t>Дезинфицирующее средство</t>
  </si>
  <si>
    <t>л</t>
  </si>
  <si>
    <t>Доски необрезные длиной 4-6,5 м, все ширины, толщиной 32 - 40 мм III сорта</t>
  </si>
  <si>
    <t>Доски половые со шпунтом и гребнем из древесины антисептированные тип ДП-27, толщиной 27 мм, шириной без гребня от 100 до 140 мм</t>
  </si>
  <si>
    <t>Доски строганные длиной 2-3,75 м, шириной 75 - 150 мм, толщиной 25 мм, III сорта</t>
  </si>
  <si>
    <t>Доски строганные длиной 2-3,75 м, шириной 75 - 150 мм, толщиной 44 мм и более III сорта</t>
  </si>
  <si>
    <t>Дрань штукатурная длиной 800 - 1000 мм, шириной 19 - 22 мм, толщиной 4 мм</t>
  </si>
  <si>
    <t>1000 шт.</t>
  </si>
  <si>
    <t>Дюбели распорные полиэтиленовые</t>
  </si>
  <si>
    <t>Известь строительная негашеная комовая, сорт I</t>
  </si>
  <si>
    <t>Кирпич керамический одинарный,  размером 250х120х65 мм, марка   50</t>
  </si>
  <si>
    <t>Клей столярный сухой</t>
  </si>
  <si>
    <t xml:space="preserve">Колер масляный </t>
  </si>
  <si>
    <t>Краски масляные и алкидные густотертые: цинковые МА-011-2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</si>
  <si>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</si>
  <si>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</si>
  <si>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>Краски сухие для внутренних работ</t>
  </si>
  <si>
    <t>Купорос медный марки А</t>
  </si>
  <si>
    <t>Лампа накаливания газопольная в прозрачной колбе МО 40-60</t>
  </si>
  <si>
    <t>Лампа энергосберегающая</t>
  </si>
  <si>
    <t xml:space="preserve">Лента изоляционная прорезиненная односторонняя ширина 20 мм, толщина 0,25-0,35 мм </t>
  </si>
  <si>
    <t>Маты на крафт-бумаге Ламелла</t>
  </si>
  <si>
    <t>Маты прошивные из супертонкого стекловолокна без связующего толщиной 50 мм</t>
  </si>
  <si>
    <t>Металлоконструкции кронштейнов</t>
  </si>
  <si>
    <t>Мешки полиэтиленовые, 60 л</t>
  </si>
  <si>
    <t>Моющее средство</t>
  </si>
  <si>
    <t>Мыло</t>
  </si>
  <si>
    <t>Мыльный раствор</t>
  </si>
  <si>
    <t>Олифа комбинированная К-3</t>
  </si>
  <si>
    <t>Олифа натуральная</t>
  </si>
  <si>
    <t>Пакля пропитанная</t>
  </si>
  <si>
    <t>Паста меловая ПМ-1</t>
  </si>
  <si>
    <t>Патроны потолочные</t>
  </si>
  <si>
    <t>Пемза шлаковая (щебень пористый из металлургического шлака), марка 600,фракция от 5 до 10 мм</t>
  </si>
  <si>
    <t xml:space="preserve">Песок природный для строительных работ средний </t>
  </si>
  <si>
    <t>Пигмент тертый</t>
  </si>
  <si>
    <t>Плиты теплоизоляционные</t>
  </si>
  <si>
    <t>Портландцемент пуццолановый  марки М400</t>
  </si>
  <si>
    <t xml:space="preserve">Провода монтажные с волокнистой или пленочной и поливинилхлоридной изоляцией марки МГШВЭ экранированные с двумя жилами из медной луженой проволоки сечением 0,50 мм </t>
  </si>
  <si>
    <t>1000 пог.м.</t>
  </si>
  <si>
    <t>Проволока стальная низкоуглеродистая разного  назначения оцинкованная диаметром 1,1 мм</t>
  </si>
  <si>
    <t>Прокладки из паронита, толщиной 1 мм, д. 100 мм</t>
  </si>
  <si>
    <t xml:space="preserve">Раствор асбоцементный </t>
  </si>
  <si>
    <t>Раствор готовый кладочный цементно-известковый М50</t>
  </si>
  <si>
    <t>Раствор готовый кладочный цементный М25</t>
  </si>
  <si>
    <t>Раствор готовый кладочный цементный М400</t>
  </si>
  <si>
    <t xml:space="preserve">Раствор готовый отделочный легкий известковый </t>
  </si>
  <si>
    <t>Раствор готовый отделочный тяжелый, цементно-известковый 1:1:6</t>
  </si>
  <si>
    <t>Решетки жалюзийные неподвижные штампованные размером 150x490 мм</t>
  </si>
  <si>
    <t>Самоклеющийся уплотнитель с профилем типа D, О</t>
  </si>
  <si>
    <t>м</t>
  </si>
  <si>
    <t>Сетка плетеная одинарная с квадратной ячейкой 12 мм из  проволоки диаметром 1,4 мм</t>
  </si>
  <si>
    <t>Сетка тканая оцинкованная № 5</t>
  </si>
  <si>
    <t xml:space="preserve">Сжим ответвительный </t>
  </si>
  <si>
    <t>Смазка солидол жировой Ж</t>
  </si>
  <si>
    <t xml:space="preserve">Сталь листовая кровельная черная толщиной 0,7 мм </t>
  </si>
  <si>
    <t>Тальк молотый I сорта</t>
  </si>
  <si>
    <t>Ткань мешочная</t>
  </si>
  <si>
    <t>10 м2</t>
  </si>
  <si>
    <t>Толь с крупнозернистой посыпкой гидроизоляционный марки ТГ-350</t>
  </si>
  <si>
    <t>Шкурка шлифовальная двухслойная с зернистостью 40-25</t>
  </si>
  <si>
    <t>Шпагат бумажный влагопрочный одножильный 3,7 мм</t>
  </si>
  <si>
    <t>Шпатлевка клеевая</t>
  </si>
  <si>
    <t>Шпатлевка масляно-клеевая</t>
  </si>
  <si>
    <t>Шурупы с полукруглой головкой 3,5 x 35 мм</t>
  </si>
  <si>
    <t xml:space="preserve">Щебень из доменного шлака для  бетона марка Др.45, фракция 20 - 40 мм                           </t>
  </si>
  <si>
    <t>Щиты из досок толщиной 40 мм</t>
  </si>
  <si>
    <t>Специнвентарь</t>
  </si>
  <si>
    <t>Ведро  оцинкованное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</si>
  <si>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</si>
  <si>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</si>
  <si>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</si>
  <si>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</si>
  <si>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</si>
  <si>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</si>
  <si>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</si>
  <si>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</si>
  <si>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</si>
  <si>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</si>
  <si>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>Автобетононасосы 65 м3/ч</t>
  </si>
  <si>
    <t>маш.-час</t>
  </si>
  <si>
    <t>Виброплита электрическая</t>
  </si>
  <si>
    <t>Компрессор передвижной с двигателем внутреннего сгорания давлением до 686 кПа (7 ат) до 5 м3/мин</t>
  </si>
  <si>
    <t>Машина дорожная комбинированная (до 100 л.с.)</t>
  </si>
  <si>
    <t>Молотки при работе от передвижных компрессорных станций чеканочные</t>
  </si>
  <si>
    <t>Перфораторы электрические</t>
  </si>
  <si>
    <t>Растворонасосы 1 м3/ч</t>
  </si>
  <si>
    <t>Снегоочиститель</t>
  </si>
  <si>
    <t>маш.-час.</t>
  </si>
  <si>
    <t>1 шт.</t>
  </si>
  <si>
    <t>организация  накопления отходов I-IV классов опасности ( отработанных ртутьсодержащих ламп) и их передача в организации, имеющие лецензии на осуществление деятельности по сбору, транспортированию, обработке, утилизации, обеззараживанию, размещению таких отходов</t>
  </si>
  <si>
    <t>1.1.</t>
  </si>
  <si>
    <t>Приложение 1 к постановлению администрации Красновишерского городского округа от         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</si>
</sst>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3"/>
      <name val="Arial"/>
      <family val="2"/>
    </font>
    <font>
      <b/>
      <sz val="18"/>
      <color indexed="17"/>
      <name val="Courier"/>
      <family val="3"/>
    </font>
    <font>
      <b/>
      <sz val="10"/>
      <color indexed="9"/>
      <name val="Courier"/>
      <family val="3"/>
    </font>
    <font>
      <b/>
      <sz val="12"/>
      <color indexed="17"/>
      <name val="Courier"/>
      <family val="3"/>
    </font>
    <font>
      <b/>
      <sz val="9"/>
      <color indexed="19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3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4" fontId="0" fillId="37" borderId="19" xfId="0" applyNumberFormat="1" applyFill="1" applyBorder="1" applyAlignment="1" applyProtection="1">
      <alignment horizontal="right" vertical="center" wrapText="1"/>
      <protection/>
    </xf>
    <xf numFmtId="0" fontId="0" fillId="37" borderId="16" xfId="0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8" borderId="32" xfId="0" applyFont="1" applyFill="1" applyBorder="1" applyAlignment="1" applyProtection="1">
      <alignment horizontal="left" vertical="center" wrapText="1"/>
      <protection/>
    </xf>
    <xf numFmtId="0" fontId="5" fillId="38" borderId="33" xfId="0" applyFont="1" applyFill="1" applyBorder="1" applyAlignment="1" applyProtection="1">
      <alignment horizontal="left" vertical="center" wrapText="1"/>
      <protection/>
    </xf>
    <xf numFmtId="4" fontId="5" fillId="38" borderId="33" xfId="0" applyNumberFormat="1" applyFont="1" applyFill="1" applyBorder="1" applyAlignment="1" applyProtection="1">
      <alignment horizontal="left" vertical="center" wrapText="1"/>
      <protection/>
    </xf>
    <xf numFmtId="4" fontId="5" fillId="38" borderId="34" xfId="0" applyNumberFormat="1" applyFont="1" applyFill="1" applyBorder="1" applyAlignment="1" applyProtection="1">
      <alignment horizontal="left" vertical="center" wrapText="1"/>
      <protection/>
    </xf>
    <xf numFmtId="0" fontId="6" fillId="34" borderId="35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6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4" fontId="13" fillId="0" borderId="38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6"/>
  <sheetViews>
    <sheetView tabSelected="1" workbookViewId="0" topLeftCell="D49">
      <selection activeCell="P7" sqref="P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2" spans="13:14" ht="12">
      <c r="M2" s="63" t="s">
        <v>291</v>
      </c>
      <c r="N2" s="41"/>
    </row>
    <row r="3" spans="13:14" ht="12">
      <c r="M3" s="41"/>
      <c r="N3" s="41"/>
    </row>
    <row r="4" spans="13:14" ht="12">
      <c r="M4" s="41"/>
      <c r="N4" s="41"/>
    </row>
    <row r="5" spans="13:14" ht="12">
      <c r="M5" s="41"/>
      <c r="N5" s="41"/>
    </row>
    <row r="6" spans="13:14" ht="12">
      <c r="M6" s="41"/>
      <c r="N6" s="41"/>
    </row>
    <row r="7" spans="13:14" ht="12">
      <c r="M7" s="41"/>
      <c r="N7" s="41"/>
    </row>
    <row r="8" spans="2:14" ht="23.25">
      <c r="B8" s="62" t="s">
        <v>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"/>
    </row>
    <row r="10" spans="2:14" ht="54.75" customHeight="1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4" t="s">
        <v>13</v>
      </c>
    </row>
    <row r="11" spans="2:14" ht="24.75" customHeight="1">
      <c r="B11" s="60" t="s">
        <v>290</v>
      </c>
      <c r="C11" s="59"/>
      <c r="D11" s="59"/>
      <c r="E11" s="59"/>
      <c r="F11" s="59"/>
      <c r="G11" s="59"/>
      <c r="H11" s="59"/>
      <c r="I11" s="59"/>
      <c r="J11" s="59"/>
      <c r="K11" s="59"/>
      <c r="L11" s="42" t="s">
        <v>14</v>
      </c>
      <c r="M11" s="42"/>
      <c r="N11" s="35">
        <v>19698.57</v>
      </c>
    </row>
    <row r="12" spans="2:14" ht="21.75" customHeight="1">
      <c r="B12" s="43" t="s">
        <v>15</v>
      </c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6"/>
    </row>
    <row r="13" spans="2:14" ht="12">
      <c r="B13" s="8">
        <v>1</v>
      </c>
      <c r="C13" s="6" t="s">
        <v>16</v>
      </c>
      <c r="D13" s="6" t="s">
        <v>17</v>
      </c>
      <c r="E13" s="10">
        <v>6</v>
      </c>
      <c r="F13" s="10">
        <v>1</v>
      </c>
      <c r="G13" s="13">
        <f>440.2254*E13*F13</f>
        <v>2641.3523999999998</v>
      </c>
      <c r="H13" s="13">
        <f>0*E13*F13</f>
        <v>0</v>
      </c>
      <c r="I13" s="13">
        <f>0*E13*F13</f>
        <v>0</v>
      </c>
      <c r="J13" s="13">
        <f>537.9554388*E13*F13</f>
        <v>3227.7326328</v>
      </c>
      <c r="K13" s="13">
        <f>102.708988074*E13*F13</f>
        <v>616.253928444</v>
      </c>
      <c r="L13" s="13">
        <f>88.04508*E13*F13</f>
        <v>528.27048</v>
      </c>
      <c r="M13" s="13">
        <f aca="true" t="shared" si="0" ref="M13:M32">SUM(G13:L13)</f>
        <v>7013.609441244</v>
      </c>
      <c r="N13" s="16">
        <f>IF(N11&gt;0,(M13/$N$11/12),0)</f>
        <v>0.029670552402382505</v>
      </c>
    </row>
    <row r="14" spans="2:14" ht="36">
      <c r="B14" s="9">
        <v>2</v>
      </c>
      <c r="C14" s="7" t="s">
        <v>18</v>
      </c>
      <c r="D14" s="7" t="s">
        <v>19</v>
      </c>
      <c r="E14" s="11">
        <v>1</v>
      </c>
      <c r="F14" s="11">
        <v>1</v>
      </c>
      <c r="G14" s="14">
        <f>3412.6*E14*F14</f>
        <v>3412.6</v>
      </c>
      <c r="H14" s="14">
        <f>9056.53945314*E14*F14</f>
        <v>9056.53945314</v>
      </c>
      <c r="I14" s="14">
        <f>0*E14*F14</f>
        <v>0</v>
      </c>
      <c r="J14" s="14">
        <f>4170.1972*E14*F14</f>
        <v>4170.1972</v>
      </c>
      <c r="K14" s="14">
        <f>1747.1303485797*E14*F14</f>
        <v>1747.1303485797</v>
      </c>
      <c r="L14" s="14">
        <f>682.52*E14*F14</f>
        <v>682.52</v>
      </c>
      <c r="M14" s="14">
        <f t="shared" si="0"/>
        <v>19068.9870017197</v>
      </c>
      <c r="N14" s="17">
        <f>IF(N11&gt;0,(M14/$N$11/12),0)</f>
        <v>0.0806699293473236</v>
      </c>
    </row>
    <row r="15" spans="2:14" ht="36">
      <c r="B15" s="9">
        <v>3</v>
      </c>
      <c r="C15" s="7" t="s">
        <v>20</v>
      </c>
      <c r="D15" s="7" t="s">
        <v>19</v>
      </c>
      <c r="E15" s="11">
        <v>1</v>
      </c>
      <c r="F15" s="11">
        <v>1</v>
      </c>
      <c r="G15" s="14">
        <f>1876.93*E15*F15</f>
        <v>1876.93</v>
      </c>
      <c r="H15" s="14">
        <f>9056.53945314*E15*F15</f>
        <v>9056.53945314</v>
      </c>
      <c r="I15" s="14">
        <f>0*E15*F15</f>
        <v>0</v>
      </c>
      <c r="J15" s="14">
        <f>2293.60846*E15*F15</f>
        <v>2293.60846</v>
      </c>
      <c r="K15" s="14">
        <f>1388.8431808797*E15*F15</f>
        <v>1388.8431808797</v>
      </c>
      <c r="L15" s="14">
        <f>375.386*E15*F15</f>
        <v>375.386</v>
      </c>
      <c r="M15" s="14">
        <f t="shared" si="0"/>
        <v>14991.3070940197</v>
      </c>
      <c r="N15" s="17">
        <f>IF(N11&gt;0,(M15/$N$11/12),0)</f>
        <v>0.06341960818314772</v>
      </c>
    </row>
    <row r="16" spans="2:14" ht="24">
      <c r="B16" s="9">
        <v>7</v>
      </c>
      <c r="C16" s="7" t="s">
        <v>22</v>
      </c>
      <c r="D16" s="7" t="s">
        <v>23</v>
      </c>
      <c r="E16" s="11">
        <v>1</v>
      </c>
      <c r="F16" s="11">
        <v>1</v>
      </c>
      <c r="G16" s="14">
        <f>7881.3997*E16*F16</f>
        <v>7881.3997</v>
      </c>
      <c r="H16" s="14">
        <f>15967.60614*E16*F16</f>
        <v>15967.60614</v>
      </c>
      <c r="I16" s="14">
        <f>0*E16*F16</f>
        <v>0</v>
      </c>
      <c r="J16" s="14">
        <f>9631.0704334*E16*F16</f>
        <v>9631.0704334</v>
      </c>
      <c r="K16" s="14">
        <f>3515.408008707*E16*F16</f>
        <v>3515.408008707</v>
      </c>
      <c r="L16" s="14">
        <f>1576.27994*E16*F16</f>
        <v>1576.27994</v>
      </c>
      <c r="M16" s="14">
        <f t="shared" si="0"/>
        <v>38571.764222107005</v>
      </c>
      <c r="N16" s="17">
        <f>IF(N11&gt;0,(M16/$N$11/12),0)</f>
        <v>0.1631749759081793</v>
      </c>
    </row>
    <row r="17" spans="2:14" ht="36">
      <c r="B17" s="9">
        <v>8</v>
      </c>
      <c r="C17" s="7" t="s">
        <v>24</v>
      </c>
      <c r="D17" s="7" t="s">
        <v>25</v>
      </c>
      <c r="E17" s="11">
        <v>1</v>
      </c>
      <c r="F17" s="11">
        <v>1</v>
      </c>
      <c r="G17" s="14">
        <f>41005.8016*E17*F17</f>
        <v>41005.8016</v>
      </c>
      <c r="H17" s="14">
        <f>33622.82288876*E17*F17</f>
        <v>33622.82288876</v>
      </c>
      <c r="I17" s="14">
        <f>2444.83895*E17*F17</f>
        <v>2444.83895</v>
      </c>
      <c r="J17" s="14">
        <f>51933.735430408*E17*F17</f>
        <v>51933.735430408</v>
      </c>
      <c r="K17" s="14">
        <f>13545.755881263*E17*F17</f>
        <v>13545.755881263</v>
      </c>
      <c r="L17" s="14">
        <f>8499.7930328*E17*F17</f>
        <v>8499.7930328</v>
      </c>
      <c r="M17" s="14">
        <f t="shared" si="0"/>
        <v>151052.747783231</v>
      </c>
      <c r="N17" s="17">
        <f>IF(N11&gt;0,(M17/$N$11/12),0)</f>
        <v>0.6390173998384612</v>
      </c>
    </row>
    <row r="18" spans="2:14" ht="12">
      <c r="B18" s="9">
        <v>9</v>
      </c>
      <c r="C18" s="7" t="s">
        <v>26</v>
      </c>
      <c r="D18" s="7" t="s">
        <v>27</v>
      </c>
      <c r="E18" s="11">
        <v>8</v>
      </c>
      <c r="F18" s="11">
        <v>1</v>
      </c>
      <c r="G18" s="14">
        <f>75.0772*E18*F18</f>
        <v>600.6176</v>
      </c>
      <c r="H18" s="14">
        <f>75.3672292*E18*F18</f>
        <v>602.9378336</v>
      </c>
      <c r="I18" s="14">
        <f>0*E18*F18</f>
        <v>0</v>
      </c>
      <c r="J18" s="14">
        <f>91.7443384*E18*F18</f>
        <v>733.9547072</v>
      </c>
      <c r="K18" s="14">
        <f>25.429820598*E18*F18</f>
        <v>203.438564784</v>
      </c>
      <c r="L18" s="14">
        <f>15.01544*E18*F18</f>
        <v>120.12352</v>
      </c>
      <c r="M18" s="14">
        <f t="shared" si="0"/>
        <v>2261.072225584</v>
      </c>
      <c r="N18" s="17">
        <f>IF(N11&gt;0,(M18/$N$11/12),0)</f>
        <v>0.009565297656902677</v>
      </c>
    </row>
    <row r="19" spans="2:14" ht="24">
      <c r="B19" s="9">
        <v>10</v>
      </c>
      <c r="C19" s="7" t="s">
        <v>28</v>
      </c>
      <c r="D19" s="7" t="s">
        <v>29</v>
      </c>
      <c r="E19" s="11">
        <v>0.4</v>
      </c>
      <c r="F19" s="11">
        <v>1</v>
      </c>
      <c r="G19" s="14">
        <f>21606.8769*E19*F19</f>
        <v>8642.75076</v>
      </c>
      <c r="H19" s="14">
        <f>55869.732823*E19*F19</f>
        <v>22347.8931292</v>
      </c>
      <c r="I19" s="14">
        <f>6670.242726*E19*F19</f>
        <v>2668.0970904000005</v>
      </c>
      <c r="J19" s="14">
        <f>29040.441008072*E19*F19</f>
        <v>11616.176403228801</v>
      </c>
      <c r="K19" s="14">
        <f>11884.665812993*E19*F19</f>
        <v>4753.8663251972</v>
      </c>
      <c r="L19" s="14">
        <f>4752.9363352*E19*F19</f>
        <v>1901.17453408</v>
      </c>
      <c r="M19" s="14">
        <f t="shared" si="0"/>
        <v>51929.958242106004</v>
      </c>
      <c r="N19" s="36">
        <f>IF(N11&gt;0,(M19/$N$11/12),0)</f>
        <v>0.21968582085783386</v>
      </c>
    </row>
    <row r="20" spans="2:14" ht="24">
      <c r="B20" s="9">
        <v>12</v>
      </c>
      <c r="C20" s="7" t="s">
        <v>31</v>
      </c>
      <c r="D20" s="7" t="s">
        <v>30</v>
      </c>
      <c r="E20" s="11">
        <v>1</v>
      </c>
      <c r="F20" s="11">
        <v>1</v>
      </c>
      <c r="G20" s="14">
        <f>7354.6*E20*F20</f>
        <v>7354.6</v>
      </c>
      <c r="H20" s="14">
        <f>1954.956554576*E20*F20</f>
        <v>1954.956554576</v>
      </c>
      <c r="I20" s="14">
        <f aca="true" t="shared" si="1" ref="I20:I32">0*E20*F20</f>
        <v>0</v>
      </c>
      <c r="J20" s="14">
        <f>8987.3212*E20*F20</f>
        <v>8987.3212</v>
      </c>
      <c r="K20" s="14">
        <f>1921.1721642305*E20*F20</f>
        <v>1921.1721642305</v>
      </c>
      <c r="L20" s="14">
        <f>1470.92*E20*F20</f>
        <v>1470.92</v>
      </c>
      <c r="M20" s="14">
        <f t="shared" si="0"/>
        <v>21688.9699188065</v>
      </c>
      <c r="N20" s="17">
        <f>IF(N11&gt;0,(M20/$N$11/12),0)</f>
        <v>0.09175357195474299</v>
      </c>
    </row>
    <row r="21" spans="2:14" ht="24">
      <c r="B21" s="9">
        <v>13</v>
      </c>
      <c r="C21" s="7" t="s">
        <v>32</v>
      </c>
      <c r="D21" s="7" t="s">
        <v>33</v>
      </c>
      <c r="E21" s="11">
        <v>1</v>
      </c>
      <c r="F21" s="11">
        <v>1</v>
      </c>
      <c r="G21" s="14">
        <f>34126*E21*F21</f>
        <v>34126</v>
      </c>
      <c r="H21" s="14">
        <f>15153.038836904*E21*F21</f>
        <v>15153.038836904</v>
      </c>
      <c r="I21" s="14">
        <f t="shared" si="1"/>
        <v>0</v>
      </c>
      <c r="J21" s="14">
        <f>41701.972*E21*F21</f>
        <v>41701.972</v>
      </c>
      <c r="K21" s="14">
        <f>9553.0061378749*E21*F21</f>
        <v>9553.0061378749</v>
      </c>
      <c r="L21" s="14">
        <f>6825.2*E21*F21</f>
        <v>6825.2</v>
      </c>
      <c r="M21" s="14">
        <f t="shared" si="0"/>
        <v>107359.21697477889</v>
      </c>
      <c r="N21" s="17">
        <f>IF(N11&gt;0,(M21/$N$11/12),0)</f>
        <v>0.45417517183048856</v>
      </c>
    </row>
    <row r="22" spans="2:14" ht="12">
      <c r="B22" s="9">
        <v>14</v>
      </c>
      <c r="C22" s="7" t="s">
        <v>34</v>
      </c>
      <c r="D22" s="7" t="s">
        <v>35</v>
      </c>
      <c r="E22" s="11">
        <v>1</v>
      </c>
      <c r="F22" s="11">
        <v>1</v>
      </c>
      <c r="G22" s="14">
        <f>5460.16*E22*F22</f>
        <v>5460.16</v>
      </c>
      <c r="H22" s="14">
        <f>92.9513152*E22*F22</f>
        <v>92.9513152</v>
      </c>
      <c r="I22" s="14">
        <f t="shared" si="1"/>
        <v>0</v>
      </c>
      <c r="J22" s="14">
        <f>6672.31552*E22*F22</f>
        <v>6672.31552</v>
      </c>
      <c r="K22" s="14">
        <f>1283.669817696*E22*F22</f>
        <v>1283.669817696</v>
      </c>
      <c r="L22" s="14">
        <f>1092.032*E22*F22</f>
        <v>1092.032</v>
      </c>
      <c r="M22" s="14">
        <f t="shared" si="0"/>
        <v>14601.128652895999</v>
      </c>
      <c r="N22" s="17">
        <f>IF(N11&gt;0,(M22/$N$11/12),0)</f>
        <v>0.061768987346526506</v>
      </c>
    </row>
    <row r="23" spans="2:14" ht="24">
      <c r="B23" s="9">
        <v>15</v>
      </c>
      <c r="C23" s="7" t="s">
        <v>36</v>
      </c>
      <c r="D23" s="7" t="s">
        <v>35</v>
      </c>
      <c r="E23" s="11">
        <v>1</v>
      </c>
      <c r="F23" s="11">
        <v>1</v>
      </c>
      <c r="G23" s="14">
        <f>2674.4*E23*F23</f>
        <v>2674.4</v>
      </c>
      <c r="H23" s="14">
        <f>396.182408148*E23*F23</f>
        <v>396.182408148</v>
      </c>
      <c r="I23" s="14">
        <f t="shared" si="1"/>
        <v>0</v>
      </c>
      <c r="J23" s="14">
        <f>3268.1168*E23*F23</f>
        <v>3268.1168</v>
      </c>
      <c r="K23" s="14">
        <f>665.56341685554*E23*F23</f>
        <v>665.56341685554</v>
      </c>
      <c r="L23" s="14">
        <f>534.88*E23*F23</f>
        <v>534.88</v>
      </c>
      <c r="M23" s="14">
        <f t="shared" si="0"/>
        <v>7539.14262500354</v>
      </c>
      <c r="N23" s="17">
        <f>IF(N11&gt;0,(M23/$N$11/12),0)</f>
        <v>0.031893781397175615</v>
      </c>
    </row>
    <row r="24" spans="2:14" ht="12">
      <c r="B24" s="9">
        <v>16</v>
      </c>
      <c r="C24" s="7" t="s">
        <v>37</v>
      </c>
      <c r="D24" s="7" t="s">
        <v>38</v>
      </c>
      <c r="E24" s="11">
        <v>1</v>
      </c>
      <c r="F24" s="11">
        <v>1</v>
      </c>
      <c r="G24" s="14">
        <f>3583.23*E24*F24</f>
        <v>3583.23</v>
      </c>
      <c r="H24" s="14">
        <f>92.9513152*E24*F24</f>
        <v>92.9513152</v>
      </c>
      <c r="I24" s="14">
        <f t="shared" si="1"/>
        <v>0</v>
      </c>
      <c r="J24" s="14">
        <f>4378.70706*E24*F24</f>
        <v>4378.70706</v>
      </c>
      <c r="K24" s="14">
        <f>845.763279396*E24*F24</f>
        <v>845.763279396</v>
      </c>
      <c r="L24" s="14">
        <f>716.646*E24*F24</f>
        <v>716.646</v>
      </c>
      <c r="M24" s="14">
        <f t="shared" si="0"/>
        <v>9617.297654596001</v>
      </c>
      <c r="N24" s="17">
        <f>IF(N11&gt;0,(M24/$N$11/12),0)</f>
        <v>0.04068526147920044</v>
      </c>
    </row>
    <row r="25" spans="2:14" ht="12">
      <c r="B25" s="9">
        <v>17</v>
      </c>
      <c r="C25" s="7" t="s">
        <v>39</v>
      </c>
      <c r="D25" s="7" t="s">
        <v>40</v>
      </c>
      <c r="E25" s="11">
        <v>6</v>
      </c>
      <c r="F25" s="11">
        <v>1</v>
      </c>
      <c r="G25" s="14">
        <f>641.5688*E25*F25</f>
        <v>3849.4128</v>
      </c>
      <c r="H25" s="14">
        <f>536.124228771*E25*F25</f>
        <v>3216.745372626</v>
      </c>
      <c r="I25" s="14">
        <f t="shared" si="1"/>
        <v>0</v>
      </c>
      <c r="J25" s="14">
        <f>783.9970736*E25*F25</f>
        <v>4703.9824416</v>
      </c>
      <c r="K25" s="14">
        <f>205.97746074895*E25*F25</f>
        <v>1235.8647644937</v>
      </c>
      <c r="L25" s="14">
        <f>128.31376*E25*F25</f>
        <v>769.88256</v>
      </c>
      <c r="M25" s="14">
        <f t="shared" si="0"/>
        <v>13775.8879387197</v>
      </c>
      <c r="N25" s="17">
        <f>IF(N11&gt;0,(M25/$N$11/12),0)</f>
        <v>0.05827786796503376</v>
      </c>
    </row>
    <row r="26" spans="2:14" ht="12">
      <c r="B26" s="9">
        <v>18</v>
      </c>
      <c r="C26" s="7" t="s">
        <v>41</v>
      </c>
      <c r="D26" s="7" t="s">
        <v>42</v>
      </c>
      <c r="E26" s="11">
        <v>1</v>
      </c>
      <c r="F26" s="11">
        <v>1</v>
      </c>
      <c r="G26" s="14">
        <f>2866.584*E26*F26</f>
        <v>2866.584</v>
      </c>
      <c r="H26" s="14">
        <f>1620.7711235*E26*F26</f>
        <v>1620.7711235</v>
      </c>
      <c r="I26" s="14">
        <f t="shared" si="1"/>
        <v>0</v>
      </c>
      <c r="J26" s="14">
        <f>3502.965648*E26*F26</f>
        <v>3502.965648</v>
      </c>
      <c r="K26" s="14">
        <f>838.9836810075*E26*F26</f>
        <v>838.9836810075</v>
      </c>
      <c r="L26" s="14">
        <f>573.3168*E26*F26</f>
        <v>573.3168</v>
      </c>
      <c r="M26" s="14">
        <f t="shared" si="0"/>
        <v>9402.621252507499</v>
      </c>
      <c r="N26" s="17">
        <f>IF(N11&gt;0,(M26/$N$11/12),0)</f>
        <v>0.039777088948197335</v>
      </c>
    </row>
    <row r="27" spans="2:14" ht="12">
      <c r="B27" s="9">
        <v>19</v>
      </c>
      <c r="C27" s="7" t="s">
        <v>43</v>
      </c>
      <c r="D27" s="7" t="s">
        <v>40</v>
      </c>
      <c r="E27" s="11">
        <v>10</v>
      </c>
      <c r="F27" s="11">
        <v>1</v>
      </c>
      <c r="G27" s="14">
        <f>162.0985*E27*F27</f>
        <v>1620.9850000000001</v>
      </c>
      <c r="H27" s="14">
        <f>75.274878*E27*F27</f>
        <v>752.74878</v>
      </c>
      <c r="I27" s="14">
        <f t="shared" si="1"/>
        <v>0</v>
      </c>
      <c r="J27" s="14">
        <f>198.084367*E27*F27</f>
        <v>1980.8436699999997</v>
      </c>
      <c r="K27" s="14">
        <f>45.723063225*E27*F27</f>
        <v>457.23063225</v>
      </c>
      <c r="L27" s="14">
        <f>32.4197*E27*F27</f>
        <v>324.197</v>
      </c>
      <c r="M27" s="14">
        <f t="shared" si="0"/>
        <v>5136.00508225</v>
      </c>
      <c r="N27" s="17">
        <f>IF(N11&gt;0,(M27/$N$11/12),0)</f>
        <v>0.0217274869963065</v>
      </c>
    </row>
    <row r="28" spans="2:14" ht="12">
      <c r="B28" s="9">
        <v>20</v>
      </c>
      <c r="C28" s="7" t="s">
        <v>44</v>
      </c>
      <c r="D28" s="7" t="s">
        <v>40</v>
      </c>
      <c r="E28" s="11">
        <v>1</v>
      </c>
      <c r="F28" s="11">
        <v>1</v>
      </c>
      <c r="G28" s="14">
        <f>266.61401*E28*F28</f>
        <v>266.61401</v>
      </c>
      <c r="H28" s="14">
        <f>3.88752*E28*F28</f>
        <v>3.88752</v>
      </c>
      <c r="I28" s="14">
        <f t="shared" si="1"/>
        <v>0</v>
      </c>
      <c r="J28" s="14">
        <f>325.80232022*E28*F28</f>
        <v>325.80232022</v>
      </c>
      <c r="K28" s="14">
        <f>62.6119042731*E28*F28</f>
        <v>62.6119042731</v>
      </c>
      <c r="L28" s="14">
        <f>53.322802*E28*F28</f>
        <v>53.322802</v>
      </c>
      <c r="M28" s="14">
        <f t="shared" si="0"/>
        <v>712.2385564931</v>
      </c>
      <c r="N28" s="17">
        <f>IF(N11&gt;0,(M28/$N$11/12),0)</f>
        <v>0.003013072169253487</v>
      </c>
    </row>
    <row r="29" spans="2:14" ht="12">
      <c r="B29" s="9">
        <v>21</v>
      </c>
      <c r="C29" s="7" t="s">
        <v>45</v>
      </c>
      <c r="D29" s="7" t="s">
        <v>46</v>
      </c>
      <c r="E29" s="11">
        <v>1</v>
      </c>
      <c r="F29" s="11">
        <v>1</v>
      </c>
      <c r="G29" s="14">
        <f>5733.168*E29*F29</f>
        <v>5733.168</v>
      </c>
      <c r="H29" s="14">
        <f>4663.079392*E29*F29</f>
        <v>4663.079392</v>
      </c>
      <c r="I29" s="14">
        <f t="shared" si="1"/>
        <v>0</v>
      </c>
      <c r="J29" s="14">
        <f>7005.931296*E29*F29</f>
        <v>7005.931296</v>
      </c>
      <c r="K29" s="14">
        <f>1827.22876224*E29*F29</f>
        <v>1827.22876224</v>
      </c>
      <c r="L29" s="14">
        <f>1146.6336*E29*F29</f>
        <v>1146.6336</v>
      </c>
      <c r="M29" s="14">
        <f t="shared" si="0"/>
        <v>20376.04105024</v>
      </c>
      <c r="N29" s="17">
        <f>IF(N11&gt;0,(M29/$N$11/12),0)</f>
        <v>0.08619932415669429</v>
      </c>
    </row>
    <row r="30" spans="2:14" ht="12">
      <c r="B30" s="9">
        <v>22</v>
      </c>
      <c r="C30" s="7" t="s">
        <v>47</v>
      </c>
      <c r="D30" s="7" t="s">
        <v>48</v>
      </c>
      <c r="E30" s="11">
        <v>1</v>
      </c>
      <c r="F30" s="11">
        <v>1</v>
      </c>
      <c r="G30" s="14">
        <f>2390.245*E30*F30</f>
        <v>2390.245</v>
      </c>
      <c r="H30" s="14">
        <f>201.41174296*E30*F30</f>
        <v>201.41174296</v>
      </c>
      <c r="I30" s="14">
        <f t="shared" si="1"/>
        <v>0</v>
      </c>
      <c r="J30" s="14">
        <f>2920.87939*E30*F30</f>
        <v>2920.87939</v>
      </c>
      <c r="K30" s="14">
        <f>578.8162939608*E30*F30</f>
        <v>578.8162939608</v>
      </c>
      <c r="L30" s="14">
        <f>478.049*E30*F30</f>
        <v>478.049</v>
      </c>
      <c r="M30" s="14">
        <f t="shared" si="0"/>
        <v>6569.4014269208</v>
      </c>
      <c r="N30" s="17">
        <f>IF(N11&gt;0,(M30/$N$11/12),0)</f>
        <v>0.027791363480195095</v>
      </c>
    </row>
    <row r="31" spans="2:14" ht="12">
      <c r="B31" s="9">
        <v>24</v>
      </c>
      <c r="C31" s="7" t="s">
        <v>49</v>
      </c>
      <c r="D31" s="7" t="s">
        <v>50</v>
      </c>
      <c r="E31" s="11">
        <v>2</v>
      </c>
      <c r="F31" s="11">
        <v>1</v>
      </c>
      <c r="G31" s="14">
        <f>28601.0006*E31*F31</f>
        <v>57202.0012</v>
      </c>
      <c r="H31" s="14">
        <f>14025.93584119*E31*F31</f>
        <v>28051.87168238</v>
      </c>
      <c r="I31" s="14">
        <f t="shared" si="1"/>
        <v>0</v>
      </c>
      <c r="J31" s="14">
        <f>34950.4227332*E31*F31</f>
        <v>69900.8454664</v>
      </c>
      <c r="K31" s="14">
        <f>8145.6227133109*E31*F31</f>
        <v>16291.2454266218</v>
      </c>
      <c r="L31" s="14">
        <f>5720.20012*E31*F31</f>
        <v>11440.40024</v>
      </c>
      <c r="M31" s="14">
        <f t="shared" si="0"/>
        <v>182886.3640154018</v>
      </c>
      <c r="N31" s="17">
        <f>IF(N11&gt;0,(M31/$N$11/12),0)</f>
        <v>0.7736871424990147</v>
      </c>
    </row>
    <row r="32" spans="2:14" ht="12">
      <c r="B32" s="9">
        <v>25</v>
      </c>
      <c r="C32" s="7" t="s">
        <v>51</v>
      </c>
      <c r="D32" s="7" t="s">
        <v>48</v>
      </c>
      <c r="E32" s="11">
        <v>1</v>
      </c>
      <c r="F32" s="11">
        <v>1</v>
      </c>
      <c r="G32" s="14">
        <f>8858.95*E32*F32</f>
        <v>8858.95</v>
      </c>
      <c r="H32" s="14">
        <f>2605.532392896*E32*F32</f>
        <v>2605.532392896</v>
      </c>
      <c r="I32" s="14">
        <f t="shared" si="1"/>
        <v>0</v>
      </c>
      <c r="J32" s="14">
        <f>10825.6369*E32*F32</f>
        <v>10825.6369</v>
      </c>
      <c r="K32" s="14">
        <f>2340.4625257541*E32*F32</f>
        <v>2340.4625257541</v>
      </c>
      <c r="L32" s="14">
        <f>1771.79*E32*F32</f>
        <v>1771.79</v>
      </c>
      <c r="M32" s="14">
        <f t="shared" si="0"/>
        <v>26402.371818650103</v>
      </c>
      <c r="N32" s="17">
        <f>IF(N11&gt;0,(M32/$N$11/12),0)</f>
        <v>0.11169326766126553</v>
      </c>
    </row>
    <row r="33" spans="2:14" ht="19.5" customHeight="1">
      <c r="B33" s="47" t="s">
        <v>52</v>
      </c>
      <c r="C33" s="48"/>
      <c r="D33" s="48"/>
      <c r="E33" s="48"/>
      <c r="F33" s="48"/>
      <c r="G33" s="15">
        <f aca="true" t="shared" si="2" ref="G33:N33">SUM(G13:G32)</f>
        <v>202047.80207</v>
      </c>
      <c r="H33" s="15">
        <f t="shared" si="2"/>
        <v>149460.46733423</v>
      </c>
      <c r="I33" s="15">
        <f t="shared" si="2"/>
        <v>5112.9360404</v>
      </c>
      <c r="J33" s="15">
        <f t="shared" si="2"/>
        <v>249781.7949792568</v>
      </c>
      <c r="K33" s="15">
        <f t="shared" si="2"/>
        <v>63672.31504450853</v>
      </c>
      <c r="L33" s="15">
        <f t="shared" si="2"/>
        <v>40880.81750888</v>
      </c>
      <c r="M33" s="15">
        <f t="shared" si="2"/>
        <v>710956.1329772752</v>
      </c>
      <c r="N33" s="18">
        <f t="shared" si="2"/>
        <v>3.007646972078325</v>
      </c>
    </row>
    <row r="34" spans="2:14" ht="21.75" customHeight="1">
      <c r="B34" s="43" t="s">
        <v>53</v>
      </c>
      <c r="C34" s="44"/>
      <c r="D34" s="44"/>
      <c r="E34" s="44"/>
      <c r="F34" s="44"/>
      <c r="G34" s="45"/>
      <c r="H34" s="45"/>
      <c r="I34" s="45"/>
      <c r="J34" s="45"/>
      <c r="K34" s="45"/>
      <c r="L34" s="45"/>
      <c r="M34" s="45"/>
      <c r="N34" s="46"/>
    </row>
    <row r="35" spans="2:14" ht="24">
      <c r="B35" s="8">
        <v>26</v>
      </c>
      <c r="C35" s="6" t="s">
        <v>54</v>
      </c>
      <c r="D35" s="6" t="s">
        <v>55</v>
      </c>
      <c r="E35" s="10">
        <v>1</v>
      </c>
      <c r="F35" s="10">
        <v>1</v>
      </c>
      <c r="G35" s="13">
        <f>16892.37*E35*F35</f>
        <v>16892.37</v>
      </c>
      <c r="H35" s="13">
        <f>234134.89154388*E35*F35</f>
        <v>234134.89154388</v>
      </c>
      <c r="I35" s="13">
        <f aca="true" t="shared" si="3" ref="I35:I59">0*E35*F35</f>
        <v>0</v>
      </c>
      <c r="J35" s="13">
        <f>20642.47614*E35*F35</f>
        <v>20642.47614</v>
      </c>
      <c r="K35" s="13">
        <f>28525.322456807*E35*F35</f>
        <v>28525.322456807</v>
      </c>
      <c r="L35" s="13">
        <f>3378.474*E35*F35</f>
        <v>3378.474</v>
      </c>
      <c r="M35" s="13">
        <f aca="true" t="shared" si="4" ref="M35:M59">SUM(G35:L35)</f>
        <v>303573.53414068697</v>
      </c>
      <c r="N35" s="16">
        <f>IF(N11&gt;0,(M35/$N$11/12),0)</f>
        <v>1.2842452275329588</v>
      </c>
    </row>
    <row r="36" spans="2:14" ht="24">
      <c r="B36" s="9">
        <v>27</v>
      </c>
      <c r="C36" s="7" t="s">
        <v>56</v>
      </c>
      <c r="D36" s="7" t="s">
        <v>57</v>
      </c>
      <c r="E36" s="11">
        <v>0.5</v>
      </c>
      <c r="F36" s="11">
        <v>1</v>
      </c>
      <c r="G36" s="14">
        <f>5289.53*E36*F36</f>
        <v>2644.765</v>
      </c>
      <c r="H36" s="14">
        <f>84515.61307*E36*F36</f>
        <v>42257.806535</v>
      </c>
      <c r="I36" s="14">
        <f t="shared" si="3"/>
        <v>0</v>
      </c>
      <c r="J36" s="14">
        <f>6463.80566*E36*F36</f>
        <v>3231.90283</v>
      </c>
      <c r="K36" s="14">
        <f>10108.23961665*E36*F36</f>
        <v>5054.119808325</v>
      </c>
      <c r="L36" s="14">
        <f>1057.906*E36*F36</f>
        <v>528.953</v>
      </c>
      <c r="M36" s="14">
        <f t="shared" si="4"/>
        <v>53717.547173325</v>
      </c>
      <c r="N36" s="17">
        <f>IF(N11&gt;0,(M36/$N$11/12),0)</f>
        <v>0.22724808270060973</v>
      </c>
    </row>
    <row r="37" spans="2:14" ht="24">
      <c r="B37" s="9">
        <v>28</v>
      </c>
      <c r="C37" s="7" t="s">
        <v>58</v>
      </c>
      <c r="D37" s="7" t="s">
        <v>59</v>
      </c>
      <c r="E37" s="11">
        <v>4</v>
      </c>
      <c r="F37" s="11">
        <v>1</v>
      </c>
      <c r="G37" s="14">
        <f>2055.7222*E37*F37</f>
        <v>8222.8888</v>
      </c>
      <c r="H37" s="14">
        <f>658.904650115*E37*F37</f>
        <v>2635.61860046</v>
      </c>
      <c r="I37" s="14">
        <f t="shared" si="3"/>
        <v>0</v>
      </c>
      <c r="J37" s="14">
        <f>2512.0925284*E37*F37</f>
        <v>10048.3701136</v>
      </c>
      <c r="K37" s="14">
        <f>548.80553474407*E37*F37</f>
        <v>2195.22213897628</v>
      </c>
      <c r="L37" s="14">
        <f>411.14444*E37*F37</f>
        <v>1644.57776</v>
      </c>
      <c r="M37" s="14">
        <f t="shared" si="4"/>
        <v>24746.677413036283</v>
      </c>
      <c r="N37" s="17">
        <f>IF(N11&gt;0,(M37/$N$11/12),0)</f>
        <v>0.1046889757862131</v>
      </c>
    </row>
    <row r="38" spans="2:14" ht="24">
      <c r="B38" s="9">
        <v>29</v>
      </c>
      <c r="C38" s="7" t="s">
        <v>60</v>
      </c>
      <c r="D38" s="7" t="s">
        <v>61</v>
      </c>
      <c r="E38" s="11">
        <v>1</v>
      </c>
      <c r="F38" s="11">
        <v>1</v>
      </c>
      <c r="G38" s="14">
        <f>136.7212*E38*F38</f>
        <v>136.7212</v>
      </c>
      <c r="H38" s="14">
        <f>168.86001328*E38*F38</f>
        <v>168.86001328</v>
      </c>
      <c r="I38" s="14">
        <f t="shared" si="3"/>
        <v>0</v>
      </c>
      <c r="J38" s="14">
        <f>167.0733064*E38*F38</f>
        <v>167.0733064</v>
      </c>
      <c r="K38" s="14">
        <f>49.6287245664*E38*F38</f>
        <v>49.6287245664</v>
      </c>
      <c r="L38" s="14">
        <f>27.34424*E38*F38</f>
        <v>27.34424</v>
      </c>
      <c r="M38" s="14">
        <f t="shared" si="4"/>
        <v>549.6274842464001</v>
      </c>
      <c r="N38" s="17">
        <f>IF(N11&gt;0,(M38/$N$11/12),0)</f>
        <v>0.002325158138578926</v>
      </c>
    </row>
    <row r="39" spans="2:14" ht="24">
      <c r="B39" s="9">
        <v>30</v>
      </c>
      <c r="C39" s="7" t="s">
        <v>62</v>
      </c>
      <c r="D39" s="7" t="s">
        <v>63</v>
      </c>
      <c r="E39" s="11">
        <v>1</v>
      </c>
      <c r="F39" s="11">
        <v>1</v>
      </c>
      <c r="G39" s="14">
        <f>163.5656*E39*F39</f>
        <v>163.5656</v>
      </c>
      <c r="H39" s="14">
        <f>0*E39*F39</f>
        <v>0</v>
      </c>
      <c r="I39" s="14">
        <f t="shared" si="3"/>
        <v>0</v>
      </c>
      <c r="J39" s="14">
        <f>199.8771632*E39*F39</f>
        <v>199.8771632</v>
      </c>
      <c r="K39" s="14">
        <f>38.161490136*E39*F39</f>
        <v>38.161490136</v>
      </c>
      <c r="L39" s="14">
        <f>32.71312*E39*F39</f>
        <v>32.71312</v>
      </c>
      <c r="M39" s="14">
        <f t="shared" si="4"/>
        <v>434.317373336</v>
      </c>
      <c r="N39" s="17">
        <f>IF(N11&gt;0,(M39/$N$11/12),0)</f>
        <v>0.0018373473020968868</v>
      </c>
    </row>
    <row r="40" spans="2:14" ht="12">
      <c r="B40" s="9">
        <v>31</v>
      </c>
      <c r="C40" s="7" t="s">
        <v>64</v>
      </c>
      <c r="D40" s="7" t="s">
        <v>65</v>
      </c>
      <c r="E40" s="11">
        <v>1</v>
      </c>
      <c r="F40" s="11">
        <v>1</v>
      </c>
      <c r="G40" s="14">
        <f>8.7596*E40*F40</f>
        <v>8.7596</v>
      </c>
      <c r="H40" s="14">
        <f>0*E40*F40</f>
        <v>0</v>
      </c>
      <c r="I40" s="14">
        <f t="shared" si="3"/>
        <v>0</v>
      </c>
      <c r="J40" s="14">
        <f>10.7042312*E40*F40</f>
        <v>10.7042312</v>
      </c>
      <c r="K40" s="14">
        <f>2.043702276*E40*F40</f>
        <v>2.043702276</v>
      </c>
      <c r="L40" s="14">
        <f>1.75192*E40*F40</f>
        <v>1.75192</v>
      </c>
      <c r="M40" s="14">
        <f t="shared" si="4"/>
        <v>23.259453476</v>
      </c>
      <c r="N40" s="17">
        <f>IF(N11&gt;0,(M40/$N$11/12),0)</f>
        <v>9.839738568163409E-05</v>
      </c>
    </row>
    <row r="41" spans="2:14" ht="12">
      <c r="B41" s="9">
        <v>32</v>
      </c>
      <c r="C41" s="7" t="s">
        <v>66</v>
      </c>
      <c r="D41" s="7" t="s">
        <v>67</v>
      </c>
      <c r="E41" s="11">
        <v>1</v>
      </c>
      <c r="F41" s="11">
        <v>1</v>
      </c>
      <c r="G41" s="14">
        <f>49.7168*E41*F41</f>
        <v>49.7168</v>
      </c>
      <c r="H41" s="14">
        <f>0*E41*F41</f>
        <v>0</v>
      </c>
      <c r="I41" s="14">
        <f t="shared" si="3"/>
        <v>0</v>
      </c>
      <c r="J41" s="14">
        <f>60.7539296*E41*F41</f>
        <v>60.7539296</v>
      </c>
      <c r="K41" s="14">
        <f>11.599426608*E41*F41</f>
        <v>11.599426608</v>
      </c>
      <c r="L41" s="14">
        <f>9.94336*E41*F41</f>
        <v>9.94336</v>
      </c>
      <c r="M41" s="14">
        <f t="shared" si="4"/>
        <v>132.013516208</v>
      </c>
      <c r="N41" s="17">
        <f>IF(N11&gt;0,(M41/$N$11/12),0)</f>
        <v>0.0005584733486068617</v>
      </c>
    </row>
    <row r="42" spans="2:14" ht="48">
      <c r="B42" s="9">
        <v>33</v>
      </c>
      <c r="C42" s="7" t="s">
        <v>68</v>
      </c>
      <c r="D42" s="7" t="s">
        <v>63</v>
      </c>
      <c r="E42" s="11">
        <v>1</v>
      </c>
      <c r="F42" s="11">
        <v>1</v>
      </c>
      <c r="G42" s="14">
        <f>45.9879*E42*F42</f>
        <v>45.9879</v>
      </c>
      <c r="H42" s="14">
        <f>0*E42*F42</f>
        <v>0</v>
      </c>
      <c r="I42" s="14">
        <f t="shared" si="3"/>
        <v>0</v>
      </c>
      <c r="J42" s="14">
        <f>56.1972138*E42*F42</f>
        <v>56.1972138</v>
      </c>
      <c r="K42" s="14">
        <f>10.729436949*E42*F42</f>
        <v>10.729436949</v>
      </c>
      <c r="L42" s="14">
        <f>9.19758*E42*F42</f>
        <v>9.19758</v>
      </c>
      <c r="M42" s="14">
        <f t="shared" si="4"/>
        <v>122.11213074900002</v>
      </c>
      <c r="N42" s="17">
        <f>IF(N11&gt;0,(M42/$N$11/12),0)</f>
        <v>0.000516586274828579</v>
      </c>
    </row>
    <row r="43" spans="2:14" ht="12">
      <c r="B43" s="9">
        <v>34</v>
      </c>
      <c r="C43" s="7" t="s">
        <v>69</v>
      </c>
      <c r="D43" s="7" t="s">
        <v>70</v>
      </c>
      <c r="E43" s="11">
        <v>1</v>
      </c>
      <c r="F43" s="11">
        <v>1</v>
      </c>
      <c r="G43" s="14">
        <f>16.20985*E43*F43</f>
        <v>16.20985</v>
      </c>
      <c r="H43" s="14">
        <f>94.6426*E43*F43</f>
        <v>94.6426</v>
      </c>
      <c r="I43" s="14">
        <f t="shared" si="3"/>
        <v>0</v>
      </c>
      <c r="J43" s="14">
        <f>19.8084367*E43*F43</f>
        <v>19.8084367</v>
      </c>
      <c r="K43" s="14">
        <f>13.7193931035*E43*F43</f>
        <v>13.7193931035</v>
      </c>
      <c r="L43" s="14">
        <f>3.24197*E43*F43</f>
        <v>3.24197</v>
      </c>
      <c r="M43" s="14">
        <f t="shared" si="4"/>
        <v>147.6222498035</v>
      </c>
      <c r="N43" s="17">
        <f>IF(N11&gt;0,(M43/$N$11/12),0)</f>
        <v>0.0006245049336216623</v>
      </c>
    </row>
    <row r="44" spans="2:14" ht="24">
      <c r="B44" s="9">
        <v>35</v>
      </c>
      <c r="C44" s="7" t="s">
        <v>71</v>
      </c>
      <c r="D44" s="7" t="s">
        <v>72</v>
      </c>
      <c r="E44" s="11">
        <v>7</v>
      </c>
      <c r="F44" s="11">
        <v>1</v>
      </c>
      <c r="G44" s="14">
        <f>3514.978*E44*F44</f>
        <v>24604.846</v>
      </c>
      <c r="H44" s="14">
        <f>2469.80941284*E44*F44</f>
        <v>17288.665889879998</v>
      </c>
      <c r="I44" s="14">
        <f t="shared" si="3"/>
        <v>0</v>
      </c>
      <c r="J44" s="14">
        <f>4295.303116*E44*F44</f>
        <v>30067.121812</v>
      </c>
      <c r="K44" s="14">
        <f>1079.4095055282*E44*F44</f>
        <v>7555.866538697401</v>
      </c>
      <c r="L44" s="14">
        <f>702.9956*E44*F44</f>
        <v>4920.9692</v>
      </c>
      <c r="M44" s="14">
        <f t="shared" si="4"/>
        <v>84437.4694405774</v>
      </c>
      <c r="N44" s="17">
        <f>IF(N11&gt;0,(M44/$N$11/12),0)</f>
        <v>0.3572064259849717</v>
      </c>
    </row>
    <row r="45" spans="2:14" ht="24">
      <c r="B45" s="9">
        <v>36</v>
      </c>
      <c r="C45" s="7" t="s">
        <v>73</v>
      </c>
      <c r="D45" s="7" t="s">
        <v>72</v>
      </c>
      <c r="E45" s="11">
        <v>7</v>
      </c>
      <c r="F45" s="11">
        <v>2</v>
      </c>
      <c r="G45" s="14">
        <f>66.5457*E45*F45</f>
        <v>931.6397999999999</v>
      </c>
      <c r="H45" s="14">
        <f aca="true" t="shared" si="5" ref="H45:H59">0*E45*F45</f>
        <v>0</v>
      </c>
      <c r="I45" s="14">
        <f t="shared" si="3"/>
        <v>0</v>
      </c>
      <c r="J45" s="14">
        <f>81.3188454*E45*F45</f>
        <v>1138.4638356</v>
      </c>
      <c r="K45" s="14">
        <f>15.525777267*E45*F45</f>
        <v>217.36088173800002</v>
      </c>
      <c r="L45" s="14">
        <f>13.30914*E45*F45</f>
        <v>186.32796</v>
      </c>
      <c r="M45" s="14">
        <f t="shared" si="4"/>
        <v>2473.792477338</v>
      </c>
      <c r="N45" s="17">
        <f>IF(N11&gt;0,(M45/$N$11/12),0)</f>
        <v>0.010465194839600032</v>
      </c>
    </row>
    <row r="46" spans="2:14" ht="24">
      <c r="B46" s="9">
        <v>37</v>
      </c>
      <c r="C46" s="7" t="s">
        <v>74</v>
      </c>
      <c r="D46" s="7" t="s">
        <v>72</v>
      </c>
      <c r="E46" s="11">
        <v>7</v>
      </c>
      <c r="F46" s="11">
        <v>2</v>
      </c>
      <c r="G46" s="14">
        <f>530.6593*E46*F46</f>
        <v>7429.2302</v>
      </c>
      <c r="H46" s="14">
        <f t="shared" si="5"/>
        <v>0</v>
      </c>
      <c r="I46" s="14">
        <f t="shared" si="3"/>
        <v>0</v>
      </c>
      <c r="J46" s="14">
        <f>648.4656646*E46*F46</f>
        <v>9078.519304399999</v>
      </c>
      <c r="K46" s="14">
        <f>123.808121283*E46*F46</f>
        <v>1733.313697962</v>
      </c>
      <c r="L46" s="14">
        <f>106.13186*E46*F46</f>
        <v>1485.8460400000001</v>
      </c>
      <c r="M46" s="14">
        <f t="shared" si="4"/>
        <v>19726.909242362</v>
      </c>
      <c r="N46" s="17">
        <f>IF(N11&gt;0,(M46/$N$11/12),0)</f>
        <v>0.08345322038757974</v>
      </c>
    </row>
    <row r="47" spans="2:14" ht="24">
      <c r="B47" s="9">
        <v>38</v>
      </c>
      <c r="C47" s="7" t="s">
        <v>75</v>
      </c>
      <c r="D47" s="7" t="s">
        <v>72</v>
      </c>
      <c r="E47" s="11">
        <v>7</v>
      </c>
      <c r="F47" s="11">
        <v>2</v>
      </c>
      <c r="G47" s="14">
        <f>682.52*E47*F47</f>
        <v>9555.279999999999</v>
      </c>
      <c r="H47" s="14">
        <f t="shared" si="5"/>
        <v>0</v>
      </c>
      <c r="I47" s="14">
        <f t="shared" si="3"/>
        <v>0</v>
      </c>
      <c r="J47" s="14">
        <f>834.03944*E47*F47</f>
        <v>11676.55216</v>
      </c>
      <c r="K47" s="14">
        <f>159.2387412*E47*F47</f>
        <v>2229.3423768</v>
      </c>
      <c r="L47" s="14">
        <f>136.504*E47*F47</f>
        <v>1911.0559999999998</v>
      </c>
      <c r="M47" s="14">
        <f t="shared" si="4"/>
        <v>25372.230536799998</v>
      </c>
      <c r="N47" s="17">
        <f>IF(N11&gt;0,(M47/$N$11/12),0)</f>
        <v>0.10733533168820546</v>
      </c>
    </row>
    <row r="48" spans="2:14" ht="24">
      <c r="B48" s="9">
        <v>39</v>
      </c>
      <c r="C48" s="7" t="s">
        <v>76</v>
      </c>
      <c r="D48" s="7" t="s">
        <v>72</v>
      </c>
      <c r="E48" s="11">
        <v>7</v>
      </c>
      <c r="F48" s="11">
        <v>2</v>
      </c>
      <c r="G48" s="14">
        <f>511.89*E48*F48</f>
        <v>7166.46</v>
      </c>
      <c r="H48" s="14">
        <f t="shared" si="5"/>
        <v>0</v>
      </c>
      <c r="I48" s="14">
        <f t="shared" si="3"/>
        <v>0</v>
      </c>
      <c r="J48" s="14">
        <f>625.52958*E48*F48</f>
        <v>8757.41412</v>
      </c>
      <c r="K48" s="14">
        <f>119.4290559*E48*F48</f>
        <v>1672.0067826</v>
      </c>
      <c r="L48" s="14">
        <f>102.378*E48*F48</f>
        <v>1433.292</v>
      </c>
      <c r="M48" s="14">
        <f t="shared" si="4"/>
        <v>19029.172902600003</v>
      </c>
      <c r="N48" s="17">
        <f>IF(N11&gt;0,(M48/$N$11/12),0)</f>
        <v>0.0805014987661541</v>
      </c>
    </row>
    <row r="49" spans="2:14" ht="12">
      <c r="B49" s="9">
        <v>40</v>
      </c>
      <c r="C49" s="7" t="s">
        <v>77</v>
      </c>
      <c r="D49" s="7" t="s">
        <v>78</v>
      </c>
      <c r="E49" s="11">
        <v>7</v>
      </c>
      <c r="F49" s="11">
        <v>1</v>
      </c>
      <c r="G49" s="14">
        <f>477.764*E49*F49</f>
        <v>3344.348</v>
      </c>
      <c r="H49" s="14">
        <f t="shared" si="5"/>
        <v>0</v>
      </c>
      <c r="I49" s="14">
        <f t="shared" si="3"/>
        <v>0</v>
      </c>
      <c r="J49" s="14">
        <f>583.827608*E49*F49</f>
        <v>4086.7932560000004</v>
      </c>
      <c r="K49" s="14">
        <f>111.46711884*E49*F49</f>
        <v>780.26983188</v>
      </c>
      <c r="L49" s="14">
        <f>95.5528*E49*F49</f>
        <v>668.8696</v>
      </c>
      <c r="M49" s="14">
        <f t="shared" si="4"/>
        <v>8880.28068788</v>
      </c>
      <c r="N49" s="17">
        <f>IF(N11&gt;0,(M49/$N$11/12),0)</f>
        <v>0.03756736609087191</v>
      </c>
    </row>
    <row r="50" spans="2:14" ht="24">
      <c r="B50" s="9">
        <v>41</v>
      </c>
      <c r="C50" s="7" t="s">
        <v>79</v>
      </c>
      <c r="D50" s="7" t="s">
        <v>80</v>
      </c>
      <c r="E50" s="11">
        <v>2.5</v>
      </c>
      <c r="F50" s="11">
        <v>2</v>
      </c>
      <c r="G50" s="14">
        <f>10237.8*E50*F50</f>
        <v>51189</v>
      </c>
      <c r="H50" s="14">
        <f t="shared" si="5"/>
        <v>0</v>
      </c>
      <c r="I50" s="14">
        <f t="shared" si="3"/>
        <v>0</v>
      </c>
      <c r="J50" s="14">
        <f>12510.5916*E50*F50</f>
        <v>62552.958</v>
      </c>
      <c r="K50" s="14">
        <f>2388.581118*E50*F50</f>
        <v>11942.90559</v>
      </c>
      <c r="L50" s="14">
        <f>2047.56*E50*F50</f>
        <v>10237.8</v>
      </c>
      <c r="M50" s="14">
        <f t="shared" si="4"/>
        <v>135922.66358999998</v>
      </c>
      <c r="N50" s="17">
        <f>IF(N11&gt;0,(M50/$N$11/12),0)</f>
        <v>0.5750107054725292</v>
      </c>
    </row>
    <row r="51" spans="2:14" ht="24">
      <c r="B51" s="9">
        <v>42</v>
      </c>
      <c r="C51" s="7" t="s">
        <v>81</v>
      </c>
      <c r="D51" s="7" t="s">
        <v>72</v>
      </c>
      <c r="E51" s="11">
        <v>7</v>
      </c>
      <c r="F51" s="11">
        <v>2</v>
      </c>
      <c r="G51" s="14">
        <f>716.646*E51*F51</f>
        <v>10033.044</v>
      </c>
      <c r="H51" s="14">
        <f t="shared" si="5"/>
        <v>0</v>
      </c>
      <c r="I51" s="14">
        <f t="shared" si="3"/>
        <v>0</v>
      </c>
      <c r="J51" s="14">
        <f>875.741412*E51*F51</f>
        <v>12260.379767999999</v>
      </c>
      <c r="K51" s="14">
        <f>167.20067826*E51*F51</f>
        <v>2340.80949564</v>
      </c>
      <c r="L51" s="14">
        <f>143.3292*E51*F51</f>
        <v>2006.6087999999997</v>
      </c>
      <c r="M51" s="14">
        <f t="shared" si="4"/>
        <v>26640.84206364</v>
      </c>
      <c r="N51" s="17">
        <f>IF(N11&gt;0,(M51/$N$11/12),0)</f>
        <v>0.11270209827261574</v>
      </c>
    </row>
    <row r="52" spans="2:14" ht="24">
      <c r="B52" s="9">
        <v>43</v>
      </c>
      <c r="C52" s="7" t="s">
        <v>82</v>
      </c>
      <c r="D52" s="7" t="s">
        <v>72</v>
      </c>
      <c r="E52" s="11">
        <v>7</v>
      </c>
      <c r="F52" s="11">
        <v>2</v>
      </c>
      <c r="G52" s="14">
        <f>716.646*E52*F52</f>
        <v>10033.044</v>
      </c>
      <c r="H52" s="14">
        <f t="shared" si="5"/>
        <v>0</v>
      </c>
      <c r="I52" s="14">
        <f t="shared" si="3"/>
        <v>0</v>
      </c>
      <c r="J52" s="14">
        <f>875.741412*E52*F52</f>
        <v>12260.379767999999</v>
      </c>
      <c r="K52" s="14">
        <f>167.20067826*E52*F52</f>
        <v>2340.80949564</v>
      </c>
      <c r="L52" s="14">
        <f>143.3292*E52*F52</f>
        <v>2006.6087999999997</v>
      </c>
      <c r="M52" s="14">
        <f t="shared" si="4"/>
        <v>26640.84206364</v>
      </c>
      <c r="N52" s="17">
        <f>IF(N11&gt;0,(M52/$N$11/12),0)</f>
        <v>0.11270209827261574</v>
      </c>
    </row>
    <row r="53" spans="2:14" ht="24">
      <c r="B53" s="9">
        <v>44</v>
      </c>
      <c r="C53" s="7" t="s">
        <v>83</v>
      </c>
      <c r="D53" s="7" t="s">
        <v>72</v>
      </c>
      <c r="E53" s="11">
        <v>7</v>
      </c>
      <c r="F53" s="11">
        <v>1</v>
      </c>
      <c r="G53" s="14">
        <f>716.646*E53*F53</f>
        <v>5016.522</v>
      </c>
      <c r="H53" s="14">
        <f t="shared" si="5"/>
        <v>0</v>
      </c>
      <c r="I53" s="14">
        <f t="shared" si="3"/>
        <v>0</v>
      </c>
      <c r="J53" s="14">
        <f>875.741412*E53*F53</f>
        <v>6130.189883999999</v>
      </c>
      <c r="K53" s="14">
        <f>167.20067826*E53*F53</f>
        <v>1170.40474782</v>
      </c>
      <c r="L53" s="14">
        <f>143.3292*E53*F53</f>
        <v>1003.3043999999999</v>
      </c>
      <c r="M53" s="14">
        <f t="shared" si="4"/>
        <v>13320.42103182</v>
      </c>
      <c r="N53" s="17">
        <f>IF(N11&gt;0,(M53/$N$11/12),0)</f>
        <v>0.05635104913630787</v>
      </c>
    </row>
    <row r="54" spans="2:14" ht="24">
      <c r="B54" s="9">
        <v>45</v>
      </c>
      <c r="C54" s="7" t="s">
        <v>84</v>
      </c>
      <c r="D54" s="7" t="s">
        <v>72</v>
      </c>
      <c r="E54" s="11">
        <v>1</v>
      </c>
      <c r="F54" s="11">
        <v>1</v>
      </c>
      <c r="G54" s="14">
        <f>1706.3*E54*F54</f>
        <v>1706.3</v>
      </c>
      <c r="H54" s="14">
        <f t="shared" si="5"/>
        <v>0</v>
      </c>
      <c r="I54" s="14">
        <f t="shared" si="3"/>
        <v>0</v>
      </c>
      <c r="J54" s="14">
        <f>2085.0986*E54*F54</f>
        <v>2085.0986</v>
      </c>
      <c r="K54" s="14">
        <f>398.096853*E54*F54</f>
        <v>398.096853</v>
      </c>
      <c r="L54" s="14">
        <f>341.26*E54*F54</f>
        <v>341.26</v>
      </c>
      <c r="M54" s="14">
        <f t="shared" si="4"/>
        <v>4530.755453</v>
      </c>
      <c r="N54" s="17">
        <f>IF(N11&gt;0,(M54/$N$11/12),0)</f>
        <v>0.01916702351575097</v>
      </c>
    </row>
    <row r="55" spans="2:14" ht="36">
      <c r="B55" s="9">
        <v>46</v>
      </c>
      <c r="C55" s="7" t="s">
        <v>85</v>
      </c>
      <c r="D55" s="7" t="s">
        <v>86</v>
      </c>
      <c r="E55" s="11">
        <v>7</v>
      </c>
      <c r="F55" s="11">
        <v>1</v>
      </c>
      <c r="G55" s="14">
        <f>682.52*E55*F55</f>
        <v>4777.639999999999</v>
      </c>
      <c r="H55" s="14">
        <f t="shared" si="5"/>
        <v>0</v>
      </c>
      <c r="I55" s="14">
        <f t="shared" si="3"/>
        <v>0</v>
      </c>
      <c r="J55" s="14">
        <f>834.03944*E55*F55</f>
        <v>5838.27608</v>
      </c>
      <c r="K55" s="14">
        <f>159.2387412*E55*F55</f>
        <v>1114.6711884</v>
      </c>
      <c r="L55" s="14">
        <f>136.504*E55*F55</f>
        <v>955.5279999999999</v>
      </c>
      <c r="M55" s="14">
        <f t="shared" si="4"/>
        <v>12686.115268399999</v>
      </c>
      <c r="N55" s="17">
        <f>IF(N11&gt;0,(M55/$N$11/12),0)</f>
        <v>0.05366766584410273</v>
      </c>
    </row>
    <row r="56" spans="2:14" ht="12">
      <c r="B56" s="9">
        <v>47</v>
      </c>
      <c r="C56" s="7" t="s">
        <v>87</v>
      </c>
      <c r="D56" s="7" t="s">
        <v>88</v>
      </c>
      <c r="E56" s="11">
        <v>1</v>
      </c>
      <c r="F56" s="11">
        <v>1</v>
      </c>
      <c r="G56" s="14">
        <f>682.52*E56*F56</f>
        <v>682.52</v>
      </c>
      <c r="H56" s="14">
        <f t="shared" si="5"/>
        <v>0</v>
      </c>
      <c r="I56" s="14">
        <f t="shared" si="3"/>
        <v>0</v>
      </c>
      <c r="J56" s="14">
        <f>834.03944*E56*F56</f>
        <v>834.03944</v>
      </c>
      <c r="K56" s="14">
        <f>159.2387412*E56*F56</f>
        <v>159.2387412</v>
      </c>
      <c r="L56" s="14">
        <f>136.504*E56*F56</f>
        <v>136.504</v>
      </c>
      <c r="M56" s="14">
        <f t="shared" si="4"/>
        <v>1812.3021812</v>
      </c>
      <c r="N56" s="17">
        <f>IF(N11&gt;0,(M56/$N$11/12),0)</f>
        <v>0.007666809406300389</v>
      </c>
    </row>
    <row r="57" spans="2:14" ht="24">
      <c r="B57" s="9">
        <v>48</v>
      </c>
      <c r="C57" s="7" t="s">
        <v>89</v>
      </c>
      <c r="D57" s="7" t="s">
        <v>90</v>
      </c>
      <c r="E57" s="11">
        <v>10</v>
      </c>
      <c r="F57" s="11">
        <v>1</v>
      </c>
      <c r="G57" s="14">
        <f>27.3008*E57*F57</f>
        <v>273.008</v>
      </c>
      <c r="H57" s="14">
        <f t="shared" si="5"/>
        <v>0</v>
      </c>
      <c r="I57" s="14">
        <f t="shared" si="3"/>
        <v>0</v>
      </c>
      <c r="J57" s="14">
        <f>33.3615776*E57*F57</f>
        <v>333.615776</v>
      </c>
      <c r="K57" s="14">
        <f>6.369549648*E57*F57</f>
        <v>63.695496479999996</v>
      </c>
      <c r="L57" s="14">
        <f>5.46016*E57*F57</f>
        <v>54.601600000000005</v>
      </c>
      <c r="M57" s="14">
        <f t="shared" si="4"/>
        <v>724.9208724799998</v>
      </c>
      <c r="N57" s="17">
        <f>IF(N11&gt;0,(M57/$N$11/12),0)</f>
        <v>0.003066723762520155</v>
      </c>
    </row>
    <row r="58" spans="2:14" ht="36">
      <c r="B58" s="9">
        <v>49</v>
      </c>
      <c r="C58" s="7" t="s">
        <v>91</v>
      </c>
      <c r="D58" s="7" t="s">
        <v>92</v>
      </c>
      <c r="E58" s="11">
        <v>1</v>
      </c>
      <c r="F58" s="11">
        <v>1</v>
      </c>
      <c r="G58" s="14">
        <f>146.7418*E58*F58</f>
        <v>146.7418</v>
      </c>
      <c r="H58" s="14">
        <f t="shared" si="5"/>
        <v>0</v>
      </c>
      <c r="I58" s="14">
        <f t="shared" si="3"/>
        <v>0</v>
      </c>
      <c r="J58" s="14">
        <f>179.3184796*E58*F58</f>
        <v>179.3184796</v>
      </c>
      <c r="K58" s="14">
        <f>34.236329358*E58*F58</f>
        <v>34.236329358</v>
      </c>
      <c r="L58" s="14">
        <f>29.34836*E58*F58</f>
        <v>29.34836</v>
      </c>
      <c r="M58" s="14">
        <f t="shared" si="4"/>
        <v>389.644968958</v>
      </c>
      <c r="N58" s="17">
        <f>IF(N11&gt;0,(M58/$N$11/12),0)</f>
        <v>0.0016483640223545837</v>
      </c>
    </row>
    <row r="59" spans="2:14" ht="84">
      <c r="B59" s="9">
        <v>50</v>
      </c>
      <c r="C59" s="7" t="s">
        <v>93</v>
      </c>
      <c r="D59" s="7" t="s">
        <v>94</v>
      </c>
      <c r="E59" s="11">
        <v>7</v>
      </c>
      <c r="F59" s="11">
        <v>4</v>
      </c>
      <c r="G59" s="14">
        <f>1784.9898*E59*F59</f>
        <v>49979.714400000004</v>
      </c>
      <c r="H59" s="14">
        <f t="shared" si="5"/>
        <v>0</v>
      </c>
      <c r="I59" s="14">
        <f t="shared" si="3"/>
        <v>0</v>
      </c>
      <c r="J59" s="14">
        <f>2181.2575356*E59*F59</f>
        <v>61075.21099680001</v>
      </c>
      <c r="K59" s="14">
        <f>416.455970238*E59*F59</f>
        <v>11660.767166664</v>
      </c>
      <c r="L59" s="14">
        <f>356.99796*E59*F59</f>
        <v>9995.942879999999</v>
      </c>
      <c r="M59" s="14">
        <f t="shared" si="4"/>
        <v>132711.635443464</v>
      </c>
      <c r="N59" s="17">
        <f>IF(N11&gt;0,(M59/$N$11/12),0)</f>
        <v>0.5614266900400385</v>
      </c>
    </row>
    <row r="60" spans="2:14" ht="19.5" customHeight="1">
      <c r="B60" s="47" t="s">
        <v>52</v>
      </c>
      <c r="C60" s="48"/>
      <c r="D60" s="48"/>
      <c r="E60" s="48"/>
      <c r="F60" s="48"/>
      <c r="G60" s="15">
        <f aca="true" t="shared" si="6" ref="G60:N60">SUM(G35:G59)</f>
        <v>215050.32294999997</v>
      </c>
      <c r="H60" s="15">
        <f t="shared" si="6"/>
        <v>296580.4851825</v>
      </c>
      <c r="I60" s="15">
        <f t="shared" si="6"/>
        <v>0</v>
      </c>
      <c r="J60" s="15">
        <f t="shared" si="6"/>
        <v>262791.49464489997</v>
      </c>
      <c r="K60" s="15">
        <f t="shared" si="6"/>
        <v>81314.34179162656</v>
      </c>
      <c r="L60" s="15">
        <f t="shared" si="6"/>
        <v>43010.06459000001</v>
      </c>
      <c r="M60" s="15">
        <f t="shared" si="6"/>
        <v>898746.7091590266</v>
      </c>
      <c r="N60" s="18">
        <f t="shared" si="6"/>
        <v>3.8020810189057155</v>
      </c>
    </row>
    <row r="61" spans="2:14" ht="21.75" customHeight="1">
      <c r="B61" s="43" t="s">
        <v>95</v>
      </c>
      <c r="C61" s="44"/>
      <c r="D61" s="44"/>
      <c r="E61" s="44"/>
      <c r="F61" s="44"/>
      <c r="G61" s="45"/>
      <c r="H61" s="45"/>
      <c r="I61" s="45"/>
      <c r="J61" s="45"/>
      <c r="K61" s="45"/>
      <c r="L61" s="45"/>
      <c r="M61" s="45"/>
      <c r="N61" s="46"/>
    </row>
    <row r="62" spans="2:14" ht="36">
      <c r="B62" s="8">
        <v>51</v>
      </c>
      <c r="C62" s="6" t="s">
        <v>96</v>
      </c>
      <c r="D62" s="6" t="s">
        <v>97</v>
      </c>
      <c r="E62" s="10">
        <v>2</v>
      </c>
      <c r="F62" s="10">
        <v>240</v>
      </c>
      <c r="G62" s="13">
        <f>174.54148*E62*F62</f>
        <v>83779.91040000001</v>
      </c>
      <c r="H62" s="13">
        <f>3.4615*E62*F62</f>
        <v>1661.52</v>
      </c>
      <c r="I62" s="13">
        <f aca="true" t="shared" si="7" ref="I62:I73">0*E62*F62</f>
        <v>0</v>
      </c>
      <c r="J62" s="13">
        <f>213.28968856*E62*F62</f>
        <v>102379.0505088</v>
      </c>
      <c r="K62" s="13">
        <f>41.0857301988*E62*F62</f>
        <v>19721.150495424</v>
      </c>
      <c r="L62" s="13">
        <f>34.908296*E62*F62</f>
        <v>16755.98208</v>
      </c>
      <c r="M62" s="13">
        <f aca="true" t="shared" si="8" ref="M62:M76">SUM(G62:L62)</f>
        <v>224297.613484224</v>
      </c>
      <c r="N62" s="16">
        <f>IF(N11&gt;0,(M62/$N$11/12),0)</f>
        <v>0.9488743492726631</v>
      </c>
    </row>
    <row r="63" spans="2:14" ht="36">
      <c r="B63" s="9">
        <v>52</v>
      </c>
      <c r="C63" s="7" t="s">
        <v>98</v>
      </c>
      <c r="D63" s="7" t="s">
        <v>99</v>
      </c>
      <c r="E63" s="11">
        <v>2</v>
      </c>
      <c r="F63" s="11">
        <v>240</v>
      </c>
      <c r="G63" s="14">
        <f>133.17*E63*F63</f>
        <v>63921.59999999999</v>
      </c>
      <c r="H63" s="14">
        <f>3.295*E63*F63</f>
        <v>1581.6</v>
      </c>
      <c r="I63" s="14">
        <f t="shared" si="7"/>
        <v>0</v>
      </c>
      <c r="J63" s="14">
        <f>162.73374*E63*F63</f>
        <v>78112.1952</v>
      </c>
      <c r="K63" s="14">
        <f>31.4158677*E63*F63</f>
        <v>15079.616496</v>
      </c>
      <c r="L63" s="14">
        <f>26.634*E63*F63</f>
        <v>12784.32</v>
      </c>
      <c r="M63" s="14">
        <f t="shared" si="8"/>
        <v>171479.331696</v>
      </c>
      <c r="N63" s="17">
        <f>IF(N11&gt;0,(M63/$N$11/12),0)</f>
        <v>0.725430541810903</v>
      </c>
    </row>
    <row r="64" spans="2:14" ht="24">
      <c r="B64" s="9">
        <v>53</v>
      </c>
      <c r="C64" s="7" t="s">
        <v>100</v>
      </c>
      <c r="D64" s="7" t="s">
        <v>99</v>
      </c>
      <c r="E64" s="11">
        <v>2</v>
      </c>
      <c r="F64" s="11">
        <v>48</v>
      </c>
      <c r="G64" s="14">
        <f>399.51*E64*F64</f>
        <v>38352.96</v>
      </c>
      <c r="H64" s="14">
        <f>45.30146*E64*F64</f>
        <v>4348.94016</v>
      </c>
      <c r="I64" s="14">
        <f t="shared" si="7"/>
        <v>0</v>
      </c>
      <c r="J64" s="14">
        <f>488.20122*E64*F64</f>
        <v>46867.31712</v>
      </c>
      <c r="K64" s="14">
        <f>97.9663314*E64*F64</f>
        <v>9404.7678144</v>
      </c>
      <c r="L64" s="14">
        <f>79.902*E64*F64</f>
        <v>7670.592000000001</v>
      </c>
      <c r="M64" s="14">
        <f t="shared" si="8"/>
        <v>106644.5770944</v>
      </c>
      <c r="N64" s="17">
        <f>IF(N11&gt;0,(M64/$N$11/12),0)</f>
        <v>0.45115194103937495</v>
      </c>
    </row>
    <row r="65" spans="2:14" ht="24">
      <c r="B65" s="9">
        <v>54</v>
      </c>
      <c r="C65" s="7" t="s">
        <v>101</v>
      </c>
      <c r="D65" s="7" t="s">
        <v>97</v>
      </c>
      <c r="E65" s="11">
        <v>2</v>
      </c>
      <c r="F65" s="11">
        <v>48</v>
      </c>
      <c r="G65" s="14">
        <f>322.44896*E65*F65</f>
        <v>30955.10016</v>
      </c>
      <c r="H65" s="14">
        <f>45.18546*E65*F65</f>
        <v>4337.80416</v>
      </c>
      <c r="I65" s="14">
        <f t="shared" si="7"/>
        <v>0</v>
      </c>
      <c r="J65" s="14">
        <f>394.03262912*E65*F65</f>
        <v>37827.132395520006</v>
      </c>
      <c r="K65" s="14">
        <f>79.9750401576*E65*F65</f>
        <v>7677.603855129601</v>
      </c>
      <c r="L65" s="14">
        <f>64.489792*E65*F65</f>
        <v>6191.020031999999</v>
      </c>
      <c r="M65" s="14">
        <f t="shared" si="8"/>
        <v>86988.66060264962</v>
      </c>
      <c r="N65" s="17">
        <f>IF(N11&gt;0,(M65/$N$11/12),0)</f>
        <v>0.36799905019607015</v>
      </c>
    </row>
    <row r="66" spans="2:14" ht="72">
      <c r="B66" s="37">
        <v>55</v>
      </c>
      <c r="C66" s="38" t="s">
        <v>289</v>
      </c>
      <c r="D66" s="39" t="s">
        <v>288</v>
      </c>
      <c r="E66" s="11">
        <v>0.03</v>
      </c>
      <c r="F66" s="11">
        <v>1</v>
      </c>
      <c r="G66" s="14">
        <v>5428</v>
      </c>
      <c r="H66" s="14">
        <v>12000</v>
      </c>
      <c r="I66" s="14">
        <f t="shared" si="7"/>
        <v>0</v>
      </c>
      <c r="J66" s="14">
        <f>1753.9713111544*E66*F66</f>
        <v>52.619139334631996</v>
      </c>
      <c r="K66" s="14">
        <f>353.92236771721*E66*F66</f>
        <v>10.6176710315163</v>
      </c>
      <c r="L66" s="14">
        <f>287.06568104*E66*F66</f>
        <v>8.6119704312</v>
      </c>
      <c r="M66" s="14">
        <f t="shared" si="8"/>
        <v>17499.848780797347</v>
      </c>
      <c r="N66" s="17">
        <f>IF(N11&gt;0,(M66/$N$11/12),0)</f>
        <v>0.07403180696533364</v>
      </c>
    </row>
    <row r="67" spans="2:14" ht="24">
      <c r="B67" s="9">
        <v>56</v>
      </c>
      <c r="C67" s="7" t="s">
        <v>102</v>
      </c>
      <c r="D67" s="7" t="s">
        <v>103</v>
      </c>
      <c r="E67" s="11">
        <v>2</v>
      </c>
      <c r="F67" s="11">
        <v>12</v>
      </c>
      <c r="G67" s="14">
        <f>323.1592*E67*F67</f>
        <v>7755.8207999999995</v>
      </c>
      <c r="H67" s="14">
        <f>70.982272*E67*F67</f>
        <v>1703.5745279999999</v>
      </c>
      <c r="I67" s="14">
        <f t="shared" si="7"/>
        <v>0</v>
      </c>
      <c r="J67" s="14">
        <f>394.9005424*E67*F67</f>
        <v>9477.6130176</v>
      </c>
      <c r="K67" s="14">
        <f>82.849411512*E67*F67</f>
        <v>1988.385876288</v>
      </c>
      <c r="L67" s="14">
        <f>64.63184*E67*F67</f>
        <v>1551.1641599999998</v>
      </c>
      <c r="M67" s="14">
        <f t="shared" si="8"/>
        <v>22476.558381888</v>
      </c>
      <c r="N67" s="17">
        <f>IF(N11&gt;0,(M67/$N$11/12),0)</f>
        <v>0.09508540629213187</v>
      </c>
    </row>
    <row r="68" spans="2:14" ht="24">
      <c r="B68" s="9">
        <v>57</v>
      </c>
      <c r="C68" s="7" t="s">
        <v>104</v>
      </c>
      <c r="D68" s="7" t="s">
        <v>105</v>
      </c>
      <c r="E68" s="11">
        <v>0.2</v>
      </c>
      <c r="F68" s="11">
        <v>120</v>
      </c>
      <c r="G68" s="14">
        <f>273.3289*E68*F68</f>
        <v>6559.893599999999</v>
      </c>
      <c r="H68" s="14">
        <f>13.57027*E68*F68</f>
        <v>325.6864800000001</v>
      </c>
      <c r="I68" s="14">
        <f t="shared" si="7"/>
        <v>0</v>
      </c>
      <c r="J68" s="14">
        <f>334.0079158*E68*F68</f>
        <v>8016.1899791999995</v>
      </c>
      <c r="K68" s="14">
        <f>65.195244009*E68*F68</f>
        <v>1564.6858562160003</v>
      </c>
      <c r="L68" s="14">
        <f>54.66578*E68*F68</f>
        <v>1311.97872</v>
      </c>
      <c r="M68" s="14">
        <f t="shared" si="8"/>
        <v>17778.434635416</v>
      </c>
      <c r="N68" s="17">
        <f>IF(N11&gt;0,(M68/$N$11/12),0)</f>
        <v>0.07521034367560692</v>
      </c>
    </row>
    <row r="69" spans="2:14" ht="24">
      <c r="B69" s="9">
        <v>58</v>
      </c>
      <c r="C69" s="7" t="s">
        <v>106</v>
      </c>
      <c r="D69" s="7" t="s">
        <v>107</v>
      </c>
      <c r="E69" s="11">
        <v>80</v>
      </c>
      <c r="F69" s="11">
        <v>1</v>
      </c>
      <c r="G69" s="14">
        <f>44.51824*E69*F69</f>
        <v>3561.4592</v>
      </c>
      <c r="H69" s="14">
        <f>16.47515576419*E69*F69</f>
        <v>1318.0124611351998</v>
      </c>
      <c r="I69" s="14">
        <f t="shared" si="7"/>
        <v>0</v>
      </c>
      <c r="J69" s="14">
        <f>54.40128928*E69*F69</f>
        <v>4352.1031424</v>
      </c>
      <c r="K69" s="14">
        <f>12.11644192964*E69*F69</f>
        <v>969.3153543712001</v>
      </c>
      <c r="L69" s="14">
        <f>8.903648*E69*F69</f>
        <v>712.2918400000001</v>
      </c>
      <c r="M69" s="14">
        <f t="shared" si="8"/>
        <v>10913.1819979064</v>
      </c>
      <c r="N69" s="17">
        <f>IF(N11&gt;0,(M69/$N$11/12),0)</f>
        <v>0.046167403682544815</v>
      </c>
    </row>
    <row r="70" spans="2:14" ht="36">
      <c r="B70" s="9">
        <v>59</v>
      </c>
      <c r="C70" s="7" t="s">
        <v>108</v>
      </c>
      <c r="D70" s="7" t="s">
        <v>109</v>
      </c>
      <c r="E70" s="11">
        <v>1</v>
      </c>
      <c r="F70" s="11">
        <v>120</v>
      </c>
      <c r="G70" s="14">
        <f>4365.0789*E70*F70</f>
        <v>523809.46800000005</v>
      </c>
      <c r="H70" s="14">
        <f>207.775*E70*F70</f>
        <v>24933</v>
      </c>
      <c r="I70" s="14">
        <f t="shared" si="7"/>
        <v>0</v>
      </c>
      <c r="J70" s="14">
        <f>5334.1264158*E70*F70</f>
        <v>640095.1698960001</v>
      </c>
      <c r="K70" s="14">
        <f>1040.232933159*E70*F70</f>
        <v>124827.95197907998</v>
      </c>
      <c r="L70" s="14">
        <f>873.01578*E70*F70</f>
        <v>104761.8936</v>
      </c>
      <c r="M70" s="14">
        <f t="shared" si="8"/>
        <v>1418427.4834750802</v>
      </c>
      <c r="N70" s="17">
        <f>IF(N11&gt;0,(M70/$N$11/12),0)</f>
        <v>6.000551831406544</v>
      </c>
    </row>
    <row r="71" spans="2:14" ht="36">
      <c r="B71" s="9">
        <v>60</v>
      </c>
      <c r="C71" s="7" t="s">
        <v>110</v>
      </c>
      <c r="D71" s="7" t="s">
        <v>109</v>
      </c>
      <c r="E71" s="11">
        <v>1</v>
      </c>
      <c r="F71" s="11">
        <v>1</v>
      </c>
      <c r="G71" s="14">
        <f>19367.0711*E71*F71</f>
        <v>19367.0711</v>
      </c>
      <c r="H71" s="14">
        <f>94.005*E71*F71</f>
        <v>94.005</v>
      </c>
      <c r="I71" s="14">
        <f t="shared" si="7"/>
        <v>0</v>
      </c>
      <c r="J71" s="14">
        <f>23666.5608842*E71*F71</f>
        <v>23666.5608842</v>
      </c>
      <c r="K71" s="14">
        <f>4528.401883341*E71*F71</f>
        <v>4528.401883341</v>
      </c>
      <c r="L71" s="14">
        <f>3873.41422*E71*F71</f>
        <v>3873.41422</v>
      </c>
      <c r="M71" s="14">
        <f t="shared" si="8"/>
        <v>51529.453087541</v>
      </c>
      <c r="N71" s="17">
        <f>IF(N11&gt;0,(M71/$N$11/12),0)</f>
        <v>0.21799151362908153</v>
      </c>
    </row>
    <row r="72" spans="2:14" ht="24">
      <c r="B72" s="9">
        <v>61</v>
      </c>
      <c r="C72" s="7" t="s">
        <v>111</v>
      </c>
      <c r="D72" s="7" t="s">
        <v>112</v>
      </c>
      <c r="E72" s="11">
        <v>2</v>
      </c>
      <c r="F72" s="11">
        <v>1</v>
      </c>
      <c r="G72" s="14">
        <f>441.909*E72*F72</f>
        <v>883.818</v>
      </c>
      <c r="H72" s="14">
        <f>0*E72*F72</f>
        <v>0</v>
      </c>
      <c r="I72" s="14">
        <f t="shared" si="7"/>
        <v>0</v>
      </c>
      <c r="J72" s="14">
        <f>540.012798*E72*F72</f>
        <v>1080.025596</v>
      </c>
      <c r="K72" s="14">
        <f>103.10178879*E72*F72</f>
        <v>206.20357758</v>
      </c>
      <c r="L72" s="14">
        <f>88.3818*E72*F72</f>
        <v>176.7636</v>
      </c>
      <c r="M72" s="14">
        <f t="shared" si="8"/>
        <v>2346.8107735800004</v>
      </c>
      <c r="N72" s="17">
        <f>IF(N11&gt;0,(M72/$N$11/12),0)</f>
        <v>0.009928008198818495</v>
      </c>
    </row>
    <row r="73" spans="2:14" ht="12">
      <c r="B73" s="9">
        <v>62</v>
      </c>
      <c r="C73" s="7" t="s">
        <v>113</v>
      </c>
      <c r="D73" s="7" t="s">
        <v>114</v>
      </c>
      <c r="E73" s="11">
        <v>2</v>
      </c>
      <c r="F73" s="11">
        <v>1</v>
      </c>
      <c r="G73" s="14">
        <f>95.206839*E73*F73</f>
        <v>190.413678</v>
      </c>
      <c r="H73" s="14">
        <f>3.1335*E73*F73</f>
        <v>6.267</v>
      </c>
      <c r="I73" s="14">
        <f t="shared" si="7"/>
        <v>0</v>
      </c>
      <c r="J73" s="14">
        <f>116.342757258*E73*F73</f>
        <v>232.685514516</v>
      </c>
      <c r="K73" s="14">
        <f>22.54172510709*E73*F73</f>
        <v>45.08345021418</v>
      </c>
      <c r="L73" s="14">
        <f>19.0413678*E73*F73</f>
        <v>38.0827356</v>
      </c>
      <c r="M73" s="14">
        <f t="shared" si="8"/>
        <v>512.53237833018</v>
      </c>
      <c r="N73" s="17">
        <f>IF(N11&gt;0,(M73/$N$11/12),0)</f>
        <v>0.002168230055659624</v>
      </c>
    </row>
    <row r="74" spans="2:14" ht="24">
      <c r="B74" s="9">
        <v>63</v>
      </c>
      <c r="C74" s="7" t="s">
        <v>115</v>
      </c>
      <c r="D74" s="7" t="s">
        <v>116</v>
      </c>
      <c r="E74" s="11">
        <v>1</v>
      </c>
      <c r="F74" s="11">
        <v>1</v>
      </c>
      <c r="G74" s="14">
        <f>0*E74*F74</f>
        <v>0</v>
      </c>
      <c r="H74" s="14">
        <f>0*E74*F74</f>
        <v>0</v>
      </c>
      <c r="I74" s="14">
        <f>202.4486648*E74*F74</f>
        <v>202.4486648</v>
      </c>
      <c r="J74" s="14">
        <f>77.2297078592*E74*F74</f>
        <v>77.2297078592</v>
      </c>
      <c r="K74" s="14">
        <f>29.366229129216*E74*F74</f>
        <v>29.366229129216</v>
      </c>
      <c r="L74" s="14">
        <f>12.63988672*E74*F74</f>
        <v>12.63988672</v>
      </c>
      <c r="M74" s="14">
        <f t="shared" si="8"/>
        <v>321.684488508416</v>
      </c>
      <c r="N74" s="17">
        <f>IF(N11&gt;0,(M74/$N$11/12),0)</f>
        <v>0.0013608622711716977</v>
      </c>
    </row>
    <row r="75" spans="2:14" ht="24">
      <c r="B75" s="9">
        <v>64</v>
      </c>
      <c r="C75" s="7" t="s">
        <v>117</v>
      </c>
      <c r="D75" s="7" t="s">
        <v>118</v>
      </c>
      <c r="E75" s="11">
        <v>1</v>
      </c>
      <c r="F75" s="11">
        <v>1</v>
      </c>
      <c r="G75" s="14">
        <f>0*E75*F75</f>
        <v>0</v>
      </c>
      <c r="H75" s="14">
        <f>0*E75*F75</f>
        <v>0</v>
      </c>
      <c r="I75" s="14">
        <f>85.854336*E75*F75</f>
        <v>85.854336</v>
      </c>
      <c r="J75" s="14">
        <f>42.357198624*E75*F75</f>
        <v>42.357198624</v>
      </c>
      <c r="K75" s="14">
        <f>13.46221113552*E75*F75</f>
        <v>13.46221113552</v>
      </c>
      <c r="L75" s="14">
        <f>6.9324384*E75*F75</f>
        <v>6.9324384</v>
      </c>
      <c r="M75" s="14">
        <f t="shared" si="8"/>
        <v>148.60618415951998</v>
      </c>
      <c r="N75" s="17">
        <f>IF(N11&gt;0,(M75/$N$11/12),0)</f>
        <v>0.0006286673946362604</v>
      </c>
    </row>
    <row r="76" spans="2:14" ht="36">
      <c r="B76" s="9">
        <v>65</v>
      </c>
      <c r="C76" s="7" t="s">
        <v>119</v>
      </c>
      <c r="D76" s="7" t="s">
        <v>116</v>
      </c>
      <c r="E76" s="11">
        <v>1</v>
      </c>
      <c r="F76" s="11">
        <v>1</v>
      </c>
      <c r="G76" s="14">
        <f>6164.95789*E76*F76</f>
        <v>6164.95789</v>
      </c>
      <c r="H76" s="14">
        <f>20.8715*E76*F76</f>
        <v>20.8715</v>
      </c>
      <c r="I76" s="14">
        <f>0*E76*F76</f>
        <v>0</v>
      </c>
      <c r="J76" s="14">
        <f>7533.57854158*E76*F76</f>
        <v>7533.57854158</v>
      </c>
      <c r="K76" s="14">
        <f>1440.5378328159*E76*F76</f>
        <v>1440.5378328159</v>
      </c>
      <c r="L76" s="14">
        <f>1232.991578*E76*F76</f>
        <v>1232.991578</v>
      </c>
      <c r="M76" s="14">
        <f t="shared" si="8"/>
        <v>16392.9373423959</v>
      </c>
      <c r="N76" s="17">
        <f>IF(N11&gt;0,(M76/$N$11/12),0)</f>
        <v>0.06934910056244312</v>
      </c>
    </row>
    <row r="77" spans="2:14" ht="12.75">
      <c r="B77" s="47" t="s">
        <v>52</v>
      </c>
      <c r="C77" s="48"/>
      <c r="D77" s="48"/>
      <c r="E77" s="48"/>
      <c r="F77" s="48"/>
      <c r="G77" s="15">
        <f aca="true" t="shared" si="9" ref="G77:N77">SUM(G62:G76)</f>
        <v>790730.4728280001</v>
      </c>
      <c r="H77" s="15">
        <f t="shared" si="9"/>
        <v>52331.2812891352</v>
      </c>
      <c r="I77" s="15">
        <f t="shared" si="9"/>
        <v>288.3030008</v>
      </c>
      <c r="J77" s="15">
        <f t="shared" si="9"/>
        <v>959811.8278416339</v>
      </c>
      <c r="K77" s="15">
        <f t="shared" si="9"/>
        <v>187507.15058215611</v>
      </c>
      <c r="L77" s="15">
        <f t="shared" si="9"/>
        <v>157088.6788611512</v>
      </c>
      <c r="M77" s="15">
        <f t="shared" si="9"/>
        <v>2147757.7144028763</v>
      </c>
      <c r="N77" s="18">
        <f t="shared" si="9"/>
        <v>9.085929056452983</v>
      </c>
    </row>
    <row r="78" spans="2:14" ht="27.75" customHeight="1">
      <c r="B78" s="49" t="s">
        <v>120</v>
      </c>
      <c r="C78" s="50"/>
      <c r="D78" s="50"/>
      <c r="E78" s="50"/>
      <c r="F78" s="50"/>
      <c r="G78" s="19">
        <f aca="true" t="shared" si="10" ref="G78:N78">G33+G60+G77</f>
        <v>1207828.597848</v>
      </c>
      <c r="H78" s="19">
        <f t="shared" si="10"/>
        <v>498372.23380586517</v>
      </c>
      <c r="I78" s="19">
        <f t="shared" si="10"/>
        <v>5401.2390411999995</v>
      </c>
      <c r="J78" s="19">
        <f t="shared" si="10"/>
        <v>1472385.1174657908</v>
      </c>
      <c r="K78" s="19">
        <f t="shared" si="10"/>
        <v>332493.8074182912</v>
      </c>
      <c r="L78" s="19">
        <f t="shared" si="10"/>
        <v>240979.5609600312</v>
      </c>
      <c r="M78" s="19">
        <f t="shared" si="10"/>
        <v>3757460.556539178</v>
      </c>
      <c r="N78" s="20">
        <f t="shared" si="10"/>
        <v>15.895657047437023</v>
      </c>
    </row>
    <row r="82" spans="3:14" ht="18">
      <c r="C82" s="51" t="s">
        <v>121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3:11" ht="19.5" customHeight="1">
      <c r="C83" s="52" t="s">
        <v>122</v>
      </c>
      <c r="D83" s="41"/>
      <c r="E83" s="53">
        <f>G78</f>
        <v>1207828.597848</v>
      </c>
      <c r="F83" s="41"/>
      <c r="G83" s="52" t="s">
        <v>123</v>
      </c>
      <c r="H83" s="41"/>
      <c r="I83" s="41"/>
      <c r="J83" s="53">
        <f>J78</f>
        <v>1472385.1174657908</v>
      </c>
      <c r="K83" s="41"/>
    </row>
    <row r="84" spans="3:11" ht="19.5" customHeight="1">
      <c r="C84" s="52" t="s">
        <v>124</v>
      </c>
      <c r="D84" s="41"/>
      <c r="E84" s="53">
        <f>H78</f>
        <v>498372.23380586517</v>
      </c>
      <c r="F84" s="41"/>
      <c r="G84" s="52" t="s">
        <v>125</v>
      </c>
      <c r="H84" s="41"/>
      <c r="I84" s="41"/>
      <c r="J84" s="53">
        <f>K78</f>
        <v>332493.8074182912</v>
      </c>
      <c r="K84" s="41"/>
    </row>
    <row r="85" spans="3:11" ht="19.5" customHeight="1">
      <c r="C85" s="52" t="s">
        <v>126</v>
      </c>
      <c r="D85" s="41"/>
      <c r="E85" s="53">
        <f>I78</f>
        <v>5401.2390411999995</v>
      </c>
      <c r="F85" s="41"/>
      <c r="G85" s="52" t="s">
        <v>127</v>
      </c>
      <c r="H85" s="41"/>
      <c r="I85" s="41"/>
      <c r="J85" s="53">
        <f>L78</f>
        <v>240979.5609600312</v>
      </c>
      <c r="K85" s="41"/>
    </row>
    <row r="86" spans="3:11" ht="15">
      <c r="C86" s="5"/>
      <c r="E86" s="21"/>
      <c r="G86" s="52" t="s">
        <v>128</v>
      </c>
      <c r="H86" s="41"/>
      <c r="I86" s="41"/>
      <c r="J86" s="53">
        <f>M78</f>
        <v>3757460.556539178</v>
      </c>
      <c r="K86" s="41"/>
    </row>
  </sheetData>
  <sheetProtection formatCells="0" formatColumns="0" formatRows="0" insertColumns="0" insertRows="0" insertHyperlinks="0" deleteColumns="0" deleteRows="0" sort="0" autoFilter="0" pivotTables="0"/>
  <mergeCells count="26">
    <mergeCell ref="M2:N7"/>
    <mergeCell ref="G86:I86"/>
    <mergeCell ref="J86:K86"/>
    <mergeCell ref="C84:D84"/>
    <mergeCell ref="E84:F84"/>
    <mergeCell ref="G84:I84"/>
    <mergeCell ref="J84:K84"/>
    <mergeCell ref="C85:D85"/>
    <mergeCell ref="E85:F85"/>
    <mergeCell ref="G85:I85"/>
    <mergeCell ref="J85:K85"/>
    <mergeCell ref="B60:F60"/>
    <mergeCell ref="B61:N61"/>
    <mergeCell ref="B77:F77"/>
    <mergeCell ref="B78:F78"/>
    <mergeCell ref="C82:N82"/>
    <mergeCell ref="C83:D83"/>
    <mergeCell ref="E83:F83"/>
    <mergeCell ref="G83:I83"/>
    <mergeCell ref="J83:K83"/>
    <mergeCell ref="B8:M8"/>
    <mergeCell ref="B11:K11"/>
    <mergeCell ref="L11:M11"/>
    <mergeCell ref="B12:N12"/>
    <mergeCell ref="B33:F33"/>
    <mergeCell ref="B34:N34"/>
  </mergeCells>
  <printOptions/>
  <pageMargins left="0.35" right="0.35" top="0.35" bottom="0.35" header="0.3" footer="0.3"/>
  <pageSetup fitToHeight="0" fitToWidth="1"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workbookViewId="0" topLeftCell="B1">
      <selection activeCell="B1" sqref="B1:G1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8" t="s">
        <v>129</v>
      </c>
      <c r="C1" s="58"/>
      <c r="D1" s="58"/>
      <c r="E1" s="58"/>
      <c r="F1" s="58"/>
      <c r="G1" s="58"/>
    </row>
    <row r="2" ht="12">
      <c r="C2" s="61" t="s">
        <v>290</v>
      </c>
    </row>
    <row r="3" spans="1:7" ht="27">
      <c r="A3" s="22"/>
      <c r="B3" s="23" t="s">
        <v>1</v>
      </c>
      <c r="C3" s="23" t="s">
        <v>130</v>
      </c>
      <c r="D3" s="23" t="s">
        <v>131</v>
      </c>
      <c r="E3" s="23" t="s">
        <v>4</v>
      </c>
      <c r="F3" s="23" t="s">
        <v>132</v>
      </c>
      <c r="G3" s="24" t="s">
        <v>12</v>
      </c>
    </row>
    <row r="4" spans="2:7" ht="16.5">
      <c r="B4" s="57" t="s">
        <v>133</v>
      </c>
      <c r="C4" s="57"/>
      <c r="D4" s="57"/>
      <c r="E4" s="57"/>
      <c r="F4" s="57"/>
      <c r="G4" s="57"/>
    </row>
    <row r="5" spans="2:7" ht="12">
      <c r="B5" s="25">
        <v>1</v>
      </c>
      <c r="C5" s="27" t="s">
        <v>134</v>
      </c>
      <c r="D5" s="27" t="s">
        <v>135</v>
      </c>
      <c r="E5" s="28">
        <v>0.65</v>
      </c>
      <c r="F5" s="29">
        <v>170.63</v>
      </c>
      <c r="G5" s="31">
        <f aca="true" t="shared" si="0" ref="G5:G42">E5*F5</f>
        <v>110.9095</v>
      </c>
    </row>
    <row r="6" spans="2:7" ht="12">
      <c r="B6" s="26">
        <v>2</v>
      </c>
      <c r="C6" s="7" t="s">
        <v>136</v>
      </c>
      <c r="D6" s="7" t="s">
        <v>135</v>
      </c>
      <c r="E6" s="12">
        <v>50.652</v>
      </c>
      <c r="F6" s="30">
        <v>170.63</v>
      </c>
      <c r="G6" s="32">
        <f t="shared" si="0"/>
        <v>8642.75076</v>
      </c>
    </row>
    <row r="7" spans="2:7" ht="12">
      <c r="B7" s="26">
        <v>3</v>
      </c>
      <c r="C7" s="7" t="s">
        <v>137</v>
      </c>
      <c r="D7" s="7" t="s">
        <v>135</v>
      </c>
      <c r="E7" s="12">
        <v>9.5</v>
      </c>
      <c r="F7" s="30">
        <v>170.63</v>
      </c>
      <c r="G7" s="32">
        <f t="shared" si="0"/>
        <v>1620.985</v>
      </c>
    </row>
    <row r="8" spans="2:7" ht="12">
      <c r="B8" s="26">
        <v>4</v>
      </c>
      <c r="C8" s="7" t="s">
        <v>138</v>
      </c>
      <c r="D8" s="7" t="s">
        <v>135</v>
      </c>
      <c r="E8" s="12">
        <v>0.65</v>
      </c>
      <c r="F8" s="14">
        <v>239.54539999999997</v>
      </c>
      <c r="G8" s="32">
        <f t="shared" si="0"/>
        <v>155.70451</v>
      </c>
    </row>
    <row r="9" spans="2:7" ht="12">
      <c r="B9" s="26">
        <v>5</v>
      </c>
      <c r="C9" s="7" t="s">
        <v>139</v>
      </c>
      <c r="D9" s="7" t="s">
        <v>135</v>
      </c>
      <c r="E9" s="12">
        <v>3397.6404</v>
      </c>
      <c r="F9" s="30">
        <v>163.67</v>
      </c>
      <c r="G9" s="32">
        <f t="shared" si="0"/>
        <v>556091.804268</v>
      </c>
    </row>
    <row r="10" spans="2:7" ht="12">
      <c r="B10" s="26">
        <v>6</v>
      </c>
      <c r="C10" s="7" t="s">
        <v>140</v>
      </c>
      <c r="D10" s="7" t="s">
        <v>135</v>
      </c>
      <c r="E10" s="12">
        <v>49.5</v>
      </c>
      <c r="F10" s="30">
        <v>170.63</v>
      </c>
      <c r="G10" s="32">
        <f t="shared" si="0"/>
        <v>8446.185</v>
      </c>
    </row>
    <row r="11" spans="2:7" ht="12">
      <c r="B11" s="26">
        <v>7</v>
      </c>
      <c r="C11" s="7" t="s">
        <v>141</v>
      </c>
      <c r="D11" s="7" t="s">
        <v>135</v>
      </c>
      <c r="E11" s="12">
        <v>99.5</v>
      </c>
      <c r="F11" s="30">
        <v>170.63</v>
      </c>
      <c r="G11" s="32">
        <f t="shared" si="0"/>
        <v>16977.685</v>
      </c>
    </row>
    <row r="12" spans="2:7" ht="12">
      <c r="B12" s="26">
        <v>8</v>
      </c>
      <c r="C12" s="7" t="s">
        <v>142</v>
      </c>
      <c r="D12" s="7" t="s">
        <v>135</v>
      </c>
      <c r="E12" s="12">
        <v>53.2</v>
      </c>
      <c r="F12" s="30">
        <v>170.63</v>
      </c>
      <c r="G12" s="32">
        <f t="shared" si="0"/>
        <v>9077.516</v>
      </c>
    </row>
    <row r="13" spans="2:7" ht="12">
      <c r="B13" s="26">
        <v>9</v>
      </c>
      <c r="C13" s="7" t="s">
        <v>143</v>
      </c>
      <c r="D13" s="7" t="s">
        <v>135</v>
      </c>
      <c r="E13" s="12">
        <v>52.52</v>
      </c>
      <c r="F13" s="30">
        <v>170.63</v>
      </c>
      <c r="G13" s="32">
        <f t="shared" si="0"/>
        <v>8961.4876</v>
      </c>
    </row>
    <row r="14" spans="2:7" ht="24">
      <c r="B14" s="26">
        <v>10</v>
      </c>
      <c r="C14" s="7" t="s">
        <v>144</v>
      </c>
      <c r="D14" s="7" t="s">
        <v>135</v>
      </c>
      <c r="E14" s="12">
        <v>19.6</v>
      </c>
      <c r="F14" s="30">
        <v>170.63</v>
      </c>
      <c r="G14" s="32">
        <f t="shared" si="0"/>
        <v>3344.348</v>
      </c>
    </row>
    <row r="15" spans="2:7" ht="12">
      <c r="B15" s="26">
        <v>11</v>
      </c>
      <c r="C15" s="7" t="s">
        <v>145</v>
      </c>
      <c r="D15" s="7" t="s">
        <v>135</v>
      </c>
      <c r="E15" s="12">
        <v>22.56</v>
      </c>
      <c r="F15" s="30">
        <v>170.63</v>
      </c>
      <c r="G15" s="32">
        <f t="shared" si="0"/>
        <v>3849.4127999999996</v>
      </c>
    </row>
    <row r="16" spans="2:7" ht="12">
      <c r="B16" s="26">
        <v>12</v>
      </c>
      <c r="C16" s="7" t="s">
        <v>146</v>
      </c>
      <c r="D16" s="7" t="s">
        <v>135</v>
      </c>
      <c r="E16" s="12">
        <v>91.91</v>
      </c>
      <c r="F16" s="30">
        <v>163.67</v>
      </c>
      <c r="G16" s="32">
        <f t="shared" si="0"/>
        <v>15042.909699999998</v>
      </c>
    </row>
    <row r="17" spans="2:7" ht="12">
      <c r="B17" s="26">
        <v>13</v>
      </c>
      <c r="C17" s="7" t="s">
        <v>147</v>
      </c>
      <c r="D17" s="7" t="s">
        <v>135</v>
      </c>
      <c r="E17" s="12">
        <v>70.15</v>
      </c>
      <c r="F17" s="30">
        <v>170.63</v>
      </c>
      <c r="G17" s="32">
        <f t="shared" si="0"/>
        <v>11969.694500000001</v>
      </c>
    </row>
    <row r="18" spans="2:7" ht="12">
      <c r="B18" s="26">
        <v>14</v>
      </c>
      <c r="C18" s="7" t="s">
        <v>148</v>
      </c>
      <c r="D18" s="7" t="s">
        <v>135</v>
      </c>
      <c r="E18" s="12">
        <v>2.46</v>
      </c>
      <c r="F18" s="30">
        <v>170.63</v>
      </c>
      <c r="G18" s="32">
        <f t="shared" si="0"/>
        <v>419.7498</v>
      </c>
    </row>
    <row r="19" spans="2:7" ht="12">
      <c r="B19" s="26">
        <v>15</v>
      </c>
      <c r="C19" s="7" t="s">
        <v>149</v>
      </c>
      <c r="D19" s="7" t="s">
        <v>135</v>
      </c>
      <c r="E19" s="12">
        <v>15.12</v>
      </c>
      <c r="F19" s="30">
        <v>170.63</v>
      </c>
      <c r="G19" s="32">
        <f t="shared" si="0"/>
        <v>2579.9255999999996</v>
      </c>
    </row>
    <row r="20" spans="2:7" ht="12">
      <c r="B20" s="26">
        <v>16</v>
      </c>
      <c r="C20" s="7" t="s">
        <v>150</v>
      </c>
      <c r="D20" s="7" t="s">
        <v>135</v>
      </c>
      <c r="E20" s="12">
        <v>1.68</v>
      </c>
      <c r="F20" s="30">
        <v>170.63</v>
      </c>
      <c r="G20" s="32">
        <f t="shared" si="0"/>
        <v>286.6584</v>
      </c>
    </row>
    <row r="21" spans="2:7" ht="12">
      <c r="B21" s="26">
        <v>17</v>
      </c>
      <c r="C21" s="7" t="s">
        <v>151</v>
      </c>
      <c r="D21" s="7" t="s">
        <v>135</v>
      </c>
      <c r="E21" s="12">
        <v>5.4</v>
      </c>
      <c r="F21" s="30">
        <v>163.67</v>
      </c>
      <c r="G21" s="32">
        <f t="shared" si="0"/>
        <v>883.818</v>
      </c>
    </row>
    <row r="22" spans="2:7" ht="24">
      <c r="B22" s="26">
        <v>18</v>
      </c>
      <c r="C22" s="7" t="s">
        <v>152</v>
      </c>
      <c r="D22" s="7" t="s">
        <v>135</v>
      </c>
      <c r="E22" s="12">
        <v>1265.856</v>
      </c>
      <c r="F22" s="30">
        <v>177.56</v>
      </c>
      <c r="G22" s="32">
        <f t="shared" si="0"/>
        <v>224765.39136</v>
      </c>
    </row>
    <row r="23" spans="2:7" ht="24">
      <c r="B23" s="26">
        <v>19</v>
      </c>
      <c r="C23" s="7" t="s">
        <v>153</v>
      </c>
      <c r="D23" s="7" t="s">
        <v>135</v>
      </c>
      <c r="E23" s="12">
        <v>15.48</v>
      </c>
      <c r="F23" s="30">
        <v>170.63</v>
      </c>
      <c r="G23" s="32">
        <f t="shared" si="0"/>
        <v>2641.3524</v>
      </c>
    </row>
    <row r="24" spans="2:7" ht="24">
      <c r="B24" s="26">
        <v>20</v>
      </c>
      <c r="C24" s="7" t="s">
        <v>154</v>
      </c>
      <c r="D24" s="7" t="s">
        <v>135</v>
      </c>
      <c r="E24" s="12">
        <v>240.32</v>
      </c>
      <c r="F24" s="30">
        <v>170.63</v>
      </c>
      <c r="G24" s="32">
        <f t="shared" si="0"/>
        <v>41005.8016</v>
      </c>
    </row>
    <row r="25" spans="2:7" ht="24">
      <c r="B25" s="26">
        <v>21</v>
      </c>
      <c r="C25" s="7" t="s">
        <v>155</v>
      </c>
      <c r="D25" s="7" t="s">
        <v>135</v>
      </c>
      <c r="E25" s="12">
        <v>56</v>
      </c>
      <c r="F25" s="30">
        <v>170.63</v>
      </c>
      <c r="G25" s="32">
        <f t="shared" si="0"/>
        <v>9555.279999999999</v>
      </c>
    </row>
    <row r="26" spans="2:7" ht="24">
      <c r="B26" s="26">
        <v>22</v>
      </c>
      <c r="C26" s="7" t="s">
        <v>156</v>
      </c>
      <c r="D26" s="7" t="s">
        <v>135</v>
      </c>
      <c r="E26" s="12">
        <v>23.61</v>
      </c>
      <c r="F26" s="30">
        <v>177.56</v>
      </c>
      <c r="G26" s="32">
        <f t="shared" si="0"/>
        <v>4192.1916</v>
      </c>
    </row>
    <row r="27" spans="2:7" ht="24">
      <c r="B27" s="26">
        <v>23</v>
      </c>
      <c r="C27" s="7" t="s">
        <v>157</v>
      </c>
      <c r="D27" s="7" t="s">
        <v>135</v>
      </c>
      <c r="E27" s="12">
        <v>22.56</v>
      </c>
      <c r="F27" s="30">
        <v>194.18</v>
      </c>
      <c r="G27" s="32">
        <f t="shared" si="0"/>
        <v>4380.7008</v>
      </c>
    </row>
    <row r="28" spans="2:7" ht="24">
      <c r="B28" s="26">
        <v>24</v>
      </c>
      <c r="C28" s="7" t="s">
        <v>158</v>
      </c>
      <c r="D28" s="7" t="s">
        <v>135</v>
      </c>
      <c r="E28" s="12">
        <v>55.69</v>
      </c>
      <c r="F28" s="30">
        <v>218.99</v>
      </c>
      <c r="G28" s="32">
        <f t="shared" si="0"/>
        <v>12195.5531</v>
      </c>
    </row>
    <row r="29" spans="2:7" ht="12">
      <c r="B29" s="26">
        <v>25</v>
      </c>
      <c r="C29" s="7" t="s">
        <v>159</v>
      </c>
      <c r="D29" s="7" t="s">
        <v>135</v>
      </c>
      <c r="E29" s="12">
        <v>151</v>
      </c>
      <c r="F29" s="30">
        <v>170.63</v>
      </c>
      <c r="G29" s="32">
        <f t="shared" si="0"/>
        <v>25765.13</v>
      </c>
    </row>
    <row r="30" spans="2:7" ht="12">
      <c r="B30" s="26">
        <v>26</v>
      </c>
      <c r="C30" s="7" t="s">
        <v>160</v>
      </c>
      <c r="D30" s="7" t="s">
        <v>135</v>
      </c>
      <c r="E30" s="12">
        <v>15.5</v>
      </c>
      <c r="F30" s="30">
        <v>170.63</v>
      </c>
      <c r="G30" s="32">
        <f t="shared" si="0"/>
        <v>2644.765</v>
      </c>
    </row>
    <row r="31" spans="2:7" ht="12">
      <c r="B31" s="26">
        <v>27</v>
      </c>
      <c r="C31" s="7" t="s">
        <v>161</v>
      </c>
      <c r="D31" s="7" t="s">
        <v>135</v>
      </c>
      <c r="E31" s="12">
        <v>448.88</v>
      </c>
      <c r="F31" s="30">
        <v>170.63</v>
      </c>
      <c r="G31" s="32">
        <f t="shared" si="0"/>
        <v>76592.39439999999</v>
      </c>
    </row>
    <row r="32" spans="2:7" ht="12">
      <c r="B32" s="26">
        <v>28</v>
      </c>
      <c r="C32" s="7" t="s">
        <v>162</v>
      </c>
      <c r="D32" s="7" t="s">
        <v>135</v>
      </c>
      <c r="E32" s="12">
        <v>377.24</v>
      </c>
      <c r="F32" s="30">
        <v>170.63</v>
      </c>
      <c r="G32" s="32">
        <f t="shared" si="0"/>
        <v>64368.4612</v>
      </c>
    </row>
    <row r="33" spans="2:7" ht="12">
      <c r="B33" s="26">
        <v>29</v>
      </c>
      <c r="C33" s="7" t="s">
        <v>163</v>
      </c>
      <c r="D33" s="7" t="s">
        <v>135</v>
      </c>
      <c r="E33" s="12">
        <v>8.017</v>
      </c>
      <c r="F33" s="14">
        <v>179.0356</v>
      </c>
      <c r="G33" s="32">
        <f t="shared" si="0"/>
        <v>1435.3284052</v>
      </c>
    </row>
    <row r="34" spans="2:7" ht="12">
      <c r="B34" s="26">
        <v>30</v>
      </c>
      <c r="C34" s="7" t="s">
        <v>164</v>
      </c>
      <c r="D34" s="7" t="s">
        <v>135</v>
      </c>
      <c r="E34" s="12">
        <v>91</v>
      </c>
      <c r="F34" s="30">
        <v>170.63</v>
      </c>
      <c r="G34" s="32">
        <f t="shared" si="0"/>
        <v>15527.33</v>
      </c>
    </row>
    <row r="35" spans="2:7" ht="12">
      <c r="B35" s="26">
        <v>31</v>
      </c>
      <c r="C35" s="7" t="s">
        <v>165</v>
      </c>
      <c r="D35" s="7" t="s">
        <v>135</v>
      </c>
      <c r="E35" s="12">
        <v>126.5</v>
      </c>
      <c r="F35" s="30">
        <v>170.63</v>
      </c>
      <c r="G35" s="32">
        <f t="shared" si="0"/>
        <v>21584.695</v>
      </c>
    </row>
    <row r="36" spans="2:7" ht="12">
      <c r="B36" s="26">
        <v>32</v>
      </c>
      <c r="C36" s="7" t="s">
        <v>166</v>
      </c>
      <c r="D36" s="7" t="s">
        <v>135</v>
      </c>
      <c r="E36" s="12">
        <v>89.49</v>
      </c>
      <c r="F36" s="30">
        <v>170.63</v>
      </c>
      <c r="G36" s="32">
        <f t="shared" si="0"/>
        <v>15269.678699999999</v>
      </c>
    </row>
    <row r="37" spans="2:7" ht="12">
      <c r="B37" s="26">
        <v>33</v>
      </c>
      <c r="C37" s="7" t="s">
        <v>167</v>
      </c>
      <c r="D37" s="7" t="s">
        <v>135</v>
      </c>
      <c r="E37" s="12">
        <v>116.8</v>
      </c>
      <c r="F37" s="30">
        <v>170.63</v>
      </c>
      <c r="G37" s="32">
        <f t="shared" si="0"/>
        <v>19929.584</v>
      </c>
    </row>
    <row r="38" spans="2:7" ht="24">
      <c r="B38" s="26">
        <v>34</v>
      </c>
      <c r="C38" s="7" t="s">
        <v>168</v>
      </c>
      <c r="D38" s="7" t="s">
        <v>169</v>
      </c>
      <c r="E38" s="12">
        <v>55.44</v>
      </c>
      <c r="F38" s="30">
        <v>170.63</v>
      </c>
      <c r="G38" s="32">
        <f t="shared" si="0"/>
        <v>9459.7272</v>
      </c>
    </row>
    <row r="39" spans="2:7" ht="24">
      <c r="B39" s="26">
        <v>35</v>
      </c>
      <c r="C39" s="7" t="s">
        <v>170</v>
      </c>
      <c r="D39" s="7" t="s">
        <v>135</v>
      </c>
      <c r="E39" s="12">
        <v>39.6</v>
      </c>
      <c r="F39" s="30">
        <v>170.63</v>
      </c>
      <c r="G39" s="32">
        <f t="shared" si="0"/>
        <v>6756.948</v>
      </c>
    </row>
    <row r="40" spans="2:7" ht="24">
      <c r="B40" s="26">
        <v>36</v>
      </c>
      <c r="C40" s="7" t="s">
        <v>171</v>
      </c>
      <c r="D40" s="7" t="s">
        <v>135</v>
      </c>
      <c r="E40" s="12">
        <v>38.195</v>
      </c>
      <c r="F40" s="30">
        <v>170.63</v>
      </c>
      <c r="G40" s="32">
        <f t="shared" si="0"/>
        <v>6517.21285</v>
      </c>
    </row>
    <row r="41" spans="2:7" ht="24">
      <c r="B41" s="26">
        <v>37</v>
      </c>
      <c r="C41" s="7" t="s">
        <v>172</v>
      </c>
      <c r="D41" s="7" t="s">
        <v>135</v>
      </c>
      <c r="E41" s="12">
        <v>24.1</v>
      </c>
      <c r="F41" s="30">
        <v>170.63</v>
      </c>
      <c r="G41" s="32">
        <f t="shared" si="0"/>
        <v>4112.183</v>
      </c>
    </row>
    <row r="42" spans="2:7" ht="24">
      <c r="B42" s="26">
        <v>38</v>
      </c>
      <c r="C42" s="7" t="s">
        <v>173</v>
      </c>
      <c r="D42" s="7" t="s">
        <v>135</v>
      </c>
      <c r="E42" s="12">
        <v>55.44</v>
      </c>
      <c r="F42" s="30">
        <v>170.63</v>
      </c>
      <c r="G42" s="32">
        <f t="shared" si="0"/>
        <v>9459.7272</v>
      </c>
    </row>
    <row r="43" spans="2:7" ht="12">
      <c r="B43" s="54" t="s">
        <v>174</v>
      </c>
      <c r="C43" s="55"/>
      <c r="D43" s="55"/>
      <c r="E43" s="55"/>
      <c r="F43" s="56"/>
      <c r="G43" s="33">
        <f>SUM(G5:G42)</f>
        <v>1226620.9802532005</v>
      </c>
    </row>
    <row r="44" spans="2:7" ht="16.5">
      <c r="B44" s="57" t="s">
        <v>175</v>
      </c>
      <c r="C44" s="57"/>
      <c r="D44" s="57"/>
      <c r="E44" s="57"/>
      <c r="F44" s="57"/>
      <c r="G44" s="57"/>
    </row>
    <row r="45" spans="2:7" ht="12">
      <c r="B45" s="25">
        <v>39</v>
      </c>
      <c r="C45" s="27" t="s">
        <v>176</v>
      </c>
      <c r="D45" s="27" t="s">
        <v>177</v>
      </c>
      <c r="E45" s="28">
        <v>0.0448</v>
      </c>
      <c r="F45" s="34">
        <v>46088.9437</v>
      </c>
      <c r="G45" s="31">
        <f aca="true" t="shared" si="1" ref="G45:G76">E45*F45</f>
        <v>2064.7846777600002</v>
      </c>
    </row>
    <row r="46" spans="2:7" ht="12">
      <c r="B46" s="26">
        <v>40</v>
      </c>
      <c r="C46" s="7" t="s">
        <v>178</v>
      </c>
      <c r="D46" s="7" t="s">
        <v>177</v>
      </c>
      <c r="E46" s="12">
        <v>0.0042</v>
      </c>
      <c r="F46" s="14">
        <v>50525.9319</v>
      </c>
      <c r="G46" s="32">
        <f t="shared" si="1"/>
        <v>212.20891398</v>
      </c>
    </row>
    <row r="47" spans="2:7" ht="12">
      <c r="B47" s="26">
        <v>41</v>
      </c>
      <c r="C47" s="7" t="s">
        <v>179</v>
      </c>
      <c r="D47" s="7" t="s">
        <v>180</v>
      </c>
      <c r="E47" s="12">
        <v>0.001</v>
      </c>
      <c r="F47" s="14">
        <v>3887.52</v>
      </c>
      <c r="G47" s="32">
        <f t="shared" si="1"/>
        <v>3.88752</v>
      </c>
    </row>
    <row r="48" spans="2:7" ht="12">
      <c r="B48" s="26">
        <v>42</v>
      </c>
      <c r="C48" s="7" t="s">
        <v>181</v>
      </c>
      <c r="D48" s="7" t="s">
        <v>180</v>
      </c>
      <c r="E48" s="12">
        <v>2</v>
      </c>
      <c r="F48" s="14">
        <v>3342.929</v>
      </c>
      <c r="G48" s="32">
        <f t="shared" si="1"/>
        <v>6685.858</v>
      </c>
    </row>
    <row r="49" spans="2:7" ht="24">
      <c r="B49" s="26">
        <v>43</v>
      </c>
      <c r="C49" s="7" t="s">
        <v>182</v>
      </c>
      <c r="D49" s="7" t="s">
        <v>180</v>
      </c>
      <c r="E49" s="12">
        <v>0.66</v>
      </c>
      <c r="F49" s="14">
        <v>6102.8457</v>
      </c>
      <c r="G49" s="32">
        <f t="shared" si="1"/>
        <v>4027.878162</v>
      </c>
    </row>
    <row r="50" spans="2:7" ht="24">
      <c r="B50" s="26">
        <v>44</v>
      </c>
      <c r="C50" s="7" t="s">
        <v>183</v>
      </c>
      <c r="D50" s="7" t="s">
        <v>180</v>
      </c>
      <c r="E50" s="12">
        <v>0.018</v>
      </c>
      <c r="F50" s="14">
        <v>7244.0126</v>
      </c>
      <c r="G50" s="32">
        <f t="shared" si="1"/>
        <v>130.3922268</v>
      </c>
    </row>
    <row r="51" spans="2:7" ht="12">
      <c r="B51" s="26">
        <v>45</v>
      </c>
      <c r="C51" s="7" t="s">
        <v>184</v>
      </c>
      <c r="D51" s="7" t="s">
        <v>185</v>
      </c>
      <c r="E51" s="12">
        <v>5.601</v>
      </c>
      <c r="F51" s="14">
        <v>42.8802</v>
      </c>
      <c r="G51" s="32">
        <f t="shared" si="1"/>
        <v>240.1720002</v>
      </c>
    </row>
    <row r="52" spans="2:7" ht="12">
      <c r="B52" s="26">
        <v>46</v>
      </c>
      <c r="C52" s="7" t="s">
        <v>186</v>
      </c>
      <c r="D52" s="7" t="s">
        <v>180</v>
      </c>
      <c r="E52" s="12">
        <v>135.4332</v>
      </c>
      <c r="F52" s="30">
        <v>27.79</v>
      </c>
      <c r="G52" s="32">
        <f t="shared" si="1"/>
        <v>3763.688628</v>
      </c>
    </row>
    <row r="53" spans="2:7" ht="12">
      <c r="B53" s="26">
        <v>47</v>
      </c>
      <c r="C53" s="7" t="s">
        <v>187</v>
      </c>
      <c r="D53" s="7" t="s">
        <v>177</v>
      </c>
      <c r="E53" s="12">
        <v>0.21</v>
      </c>
      <c r="F53" s="14">
        <v>103842.7792</v>
      </c>
      <c r="G53" s="32">
        <f t="shared" si="1"/>
        <v>21806.983632</v>
      </c>
    </row>
    <row r="54" spans="2:7" ht="12">
      <c r="B54" s="26">
        <v>48</v>
      </c>
      <c r="C54" s="7" t="s">
        <v>188</v>
      </c>
      <c r="D54" s="7" t="s">
        <v>189</v>
      </c>
      <c r="E54" s="12">
        <v>68.11</v>
      </c>
      <c r="F54" s="14">
        <v>223.5235</v>
      </c>
      <c r="G54" s="32">
        <f t="shared" si="1"/>
        <v>15224.185585000001</v>
      </c>
    </row>
    <row r="55" spans="2:7" ht="12">
      <c r="B55" s="26">
        <v>49</v>
      </c>
      <c r="C55" s="7" t="s">
        <v>190</v>
      </c>
      <c r="D55" s="7" t="s">
        <v>177</v>
      </c>
      <c r="E55" s="12">
        <v>0.0038</v>
      </c>
      <c r="F55" s="14">
        <v>44436.8456</v>
      </c>
      <c r="G55" s="32">
        <f t="shared" si="1"/>
        <v>168.86001328</v>
      </c>
    </row>
    <row r="56" spans="2:7" ht="12">
      <c r="B56" s="26">
        <v>50</v>
      </c>
      <c r="C56" s="7" t="s">
        <v>191</v>
      </c>
      <c r="D56" s="7" t="s">
        <v>192</v>
      </c>
      <c r="E56" s="12">
        <v>24.4</v>
      </c>
      <c r="F56" s="14">
        <v>58.010200000000005</v>
      </c>
      <c r="G56" s="32">
        <f t="shared" si="1"/>
        <v>1415.44888</v>
      </c>
    </row>
    <row r="57" spans="2:7" ht="12">
      <c r="B57" s="26">
        <v>51</v>
      </c>
      <c r="C57" s="7" t="s">
        <v>193</v>
      </c>
      <c r="D57" s="7" t="s">
        <v>194</v>
      </c>
      <c r="E57" s="12">
        <v>10</v>
      </c>
      <c r="F57" s="14">
        <v>291.297</v>
      </c>
      <c r="G57" s="32">
        <f t="shared" si="1"/>
        <v>2912.9700000000003</v>
      </c>
    </row>
    <row r="58" spans="2:7" ht="12">
      <c r="B58" s="26">
        <v>52</v>
      </c>
      <c r="C58" s="7" t="s">
        <v>195</v>
      </c>
      <c r="D58" s="7" t="s">
        <v>177</v>
      </c>
      <c r="E58" s="12">
        <v>0.01478</v>
      </c>
      <c r="F58" s="14">
        <v>90788.7487</v>
      </c>
      <c r="G58" s="32">
        <f t="shared" si="1"/>
        <v>1341.857705786</v>
      </c>
    </row>
    <row r="59" spans="2:7" ht="12">
      <c r="B59" s="26">
        <v>53</v>
      </c>
      <c r="C59" s="7" t="s">
        <v>196</v>
      </c>
      <c r="D59" s="7" t="s">
        <v>177</v>
      </c>
      <c r="E59" s="12">
        <v>0.00134</v>
      </c>
      <c r="F59" s="14">
        <v>77115.86559999999</v>
      </c>
      <c r="G59" s="32">
        <f t="shared" si="1"/>
        <v>103.335259904</v>
      </c>
    </row>
    <row r="60" spans="2:7" ht="12">
      <c r="B60" s="26">
        <v>54</v>
      </c>
      <c r="C60" s="7" t="s">
        <v>197</v>
      </c>
      <c r="D60" s="7" t="s">
        <v>177</v>
      </c>
      <c r="E60" s="12">
        <v>1.496</v>
      </c>
      <c r="F60" s="14">
        <v>4743.8068</v>
      </c>
      <c r="G60" s="32">
        <f t="shared" si="1"/>
        <v>7096.734972800001</v>
      </c>
    </row>
    <row r="61" spans="2:7" ht="12">
      <c r="B61" s="26">
        <v>55</v>
      </c>
      <c r="C61" s="7" t="s">
        <v>198</v>
      </c>
      <c r="D61" s="7" t="s">
        <v>180</v>
      </c>
      <c r="E61" s="12">
        <v>0.16</v>
      </c>
      <c r="F61" s="14">
        <v>819.8412999999999</v>
      </c>
      <c r="G61" s="32">
        <f t="shared" si="1"/>
        <v>131.17460799999998</v>
      </c>
    </row>
    <row r="62" spans="2:7" ht="12">
      <c r="B62" s="26">
        <v>56</v>
      </c>
      <c r="C62" s="7" t="s">
        <v>199</v>
      </c>
      <c r="D62" s="7" t="s">
        <v>200</v>
      </c>
      <c r="E62" s="12">
        <v>4.8</v>
      </c>
      <c r="F62" s="30">
        <v>320</v>
      </c>
      <c r="G62" s="32">
        <f t="shared" si="1"/>
        <v>1536</v>
      </c>
    </row>
    <row r="63" spans="2:7" ht="24">
      <c r="B63" s="26">
        <v>57</v>
      </c>
      <c r="C63" s="7" t="s">
        <v>201</v>
      </c>
      <c r="D63" s="7" t="s">
        <v>180</v>
      </c>
      <c r="E63" s="12">
        <v>0.3</v>
      </c>
      <c r="F63" s="14">
        <v>3889.4246000000003</v>
      </c>
      <c r="G63" s="32">
        <f t="shared" si="1"/>
        <v>1166.82738</v>
      </c>
    </row>
    <row r="64" spans="2:7" ht="36">
      <c r="B64" s="26">
        <v>58</v>
      </c>
      <c r="C64" s="7" t="s">
        <v>202</v>
      </c>
      <c r="D64" s="7" t="s">
        <v>180</v>
      </c>
      <c r="E64" s="12">
        <v>0.138</v>
      </c>
      <c r="F64" s="14">
        <v>12889.7365</v>
      </c>
      <c r="G64" s="32">
        <f t="shared" si="1"/>
        <v>1778.7836370000002</v>
      </c>
    </row>
    <row r="65" spans="2:7" ht="24">
      <c r="B65" s="26">
        <v>59</v>
      </c>
      <c r="C65" s="7" t="s">
        <v>203</v>
      </c>
      <c r="D65" s="7" t="s">
        <v>180</v>
      </c>
      <c r="E65" s="12">
        <v>0.376</v>
      </c>
      <c r="F65" s="14">
        <v>4221.5281</v>
      </c>
      <c r="G65" s="32">
        <f t="shared" si="1"/>
        <v>1587.2945656000002</v>
      </c>
    </row>
    <row r="66" spans="2:7" ht="24">
      <c r="B66" s="26">
        <v>60</v>
      </c>
      <c r="C66" s="7" t="s">
        <v>204</v>
      </c>
      <c r="D66" s="7" t="s">
        <v>180</v>
      </c>
      <c r="E66" s="12">
        <v>0.588</v>
      </c>
      <c r="F66" s="14">
        <v>4191.0545</v>
      </c>
      <c r="G66" s="32">
        <f t="shared" si="1"/>
        <v>2464.340046</v>
      </c>
    </row>
    <row r="67" spans="2:7" ht="24">
      <c r="B67" s="26">
        <v>61</v>
      </c>
      <c r="C67" s="7" t="s">
        <v>205</v>
      </c>
      <c r="D67" s="7" t="s">
        <v>206</v>
      </c>
      <c r="E67" s="12">
        <v>0.65</v>
      </c>
      <c r="F67" s="14">
        <v>1621.2507</v>
      </c>
      <c r="G67" s="32">
        <f t="shared" si="1"/>
        <v>1053.812955</v>
      </c>
    </row>
    <row r="68" spans="2:7" ht="12">
      <c r="B68" s="26">
        <v>62</v>
      </c>
      <c r="C68" s="7" t="s">
        <v>207</v>
      </c>
      <c r="D68" s="7" t="s">
        <v>206</v>
      </c>
      <c r="E68" s="12">
        <v>0.4</v>
      </c>
      <c r="F68" s="14">
        <v>1567.29</v>
      </c>
      <c r="G68" s="32">
        <f t="shared" si="1"/>
        <v>626.916</v>
      </c>
    </row>
    <row r="69" spans="2:7" ht="12">
      <c r="B69" s="26">
        <v>63</v>
      </c>
      <c r="C69" s="7" t="s">
        <v>208</v>
      </c>
      <c r="D69" s="7" t="s">
        <v>177</v>
      </c>
      <c r="E69" s="12">
        <v>0.027</v>
      </c>
      <c r="F69" s="14">
        <v>3724.4809000000005</v>
      </c>
      <c r="G69" s="32">
        <f t="shared" si="1"/>
        <v>100.56098430000002</v>
      </c>
    </row>
    <row r="70" spans="2:7" ht="24">
      <c r="B70" s="26">
        <v>64</v>
      </c>
      <c r="C70" s="7" t="s">
        <v>209</v>
      </c>
      <c r="D70" s="7" t="s">
        <v>206</v>
      </c>
      <c r="E70" s="12">
        <v>0.064</v>
      </c>
      <c r="F70" s="14">
        <v>5881.8943</v>
      </c>
      <c r="G70" s="32">
        <f t="shared" si="1"/>
        <v>376.4412352</v>
      </c>
    </row>
    <row r="71" spans="2:7" ht="12">
      <c r="B71" s="26">
        <v>65</v>
      </c>
      <c r="C71" s="7" t="s">
        <v>210</v>
      </c>
      <c r="D71" s="7" t="s">
        <v>185</v>
      </c>
      <c r="E71" s="12">
        <v>0.8</v>
      </c>
      <c r="F71" s="14">
        <v>74.37729999999999</v>
      </c>
      <c r="G71" s="32">
        <f t="shared" si="1"/>
        <v>59.501839999999994</v>
      </c>
    </row>
    <row r="72" spans="2:7" ht="12">
      <c r="B72" s="26">
        <v>66</v>
      </c>
      <c r="C72" s="7" t="s">
        <v>211</v>
      </c>
      <c r="D72" s="7" t="s">
        <v>185</v>
      </c>
      <c r="E72" s="12">
        <v>24.8</v>
      </c>
      <c r="F72" s="14">
        <v>77.9996</v>
      </c>
      <c r="G72" s="32">
        <f t="shared" si="1"/>
        <v>1934.3900800000001</v>
      </c>
    </row>
    <row r="73" spans="2:7" ht="12">
      <c r="B73" s="26">
        <v>67</v>
      </c>
      <c r="C73" s="7" t="s">
        <v>212</v>
      </c>
      <c r="D73" s="7" t="s">
        <v>177</v>
      </c>
      <c r="E73" s="12">
        <v>0.0027</v>
      </c>
      <c r="F73" s="14">
        <v>60535.1033</v>
      </c>
      <c r="G73" s="32">
        <f t="shared" si="1"/>
        <v>163.44477891000003</v>
      </c>
    </row>
    <row r="74" spans="2:7" ht="24">
      <c r="B74" s="26">
        <v>68</v>
      </c>
      <c r="C74" s="7" t="s">
        <v>213</v>
      </c>
      <c r="D74" s="7" t="s">
        <v>177</v>
      </c>
      <c r="E74" s="12">
        <v>0.013016</v>
      </c>
      <c r="F74" s="14">
        <v>53601.7897</v>
      </c>
      <c r="G74" s="32">
        <f t="shared" si="1"/>
        <v>697.6808947352</v>
      </c>
    </row>
    <row r="75" spans="2:7" ht="24">
      <c r="B75" s="26">
        <v>69</v>
      </c>
      <c r="C75" s="7" t="s">
        <v>214</v>
      </c>
      <c r="D75" s="7" t="s">
        <v>177</v>
      </c>
      <c r="E75" s="12">
        <v>0.03536</v>
      </c>
      <c r="F75" s="14">
        <v>54787.242999999995</v>
      </c>
      <c r="G75" s="32">
        <f t="shared" si="1"/>
        <v>1937.27691248</v>
      </c>
    </row>
    <row r="76" spans="2:7" ht="12">
      <c r="B76" s="26">
        <v>70</v>
      </c>
      <c r="C76" s="7" t="s">
        <v>215</v>
      </c>
      <c r="D76" s="7" t="s">
        <v>177</v>
      </c>
      <c r="E76" s="12">
        <v>0.00407</v>
      </c>
      <c r="F76" s="14">
        <v>56857.1694</v>
      </c>
      <c r="G76" s="32">
        <f t="shared" si="1"/>
        <v>231.408679458</v>
      </c>
    </row>
    <row r="77" spans="2:7" ht="12">
      <c r="B77" s="26">
        <v>71</v>
      </c>
      <c r="C77" s="7" t="s">
        <v>216</v>
      </c>
      <c r="D77" s="7" t="s">
        <v>177</v>
      </c>
      <c r="E77" s="12">
        <v>0.0005</v>
      </c>
      <c r="F77" s="14">
        <v>156532.31</v>
      </c>
      <c r="G77" s="32">
        <f aca="true" t="shared" si="2" ref="G77:G108">E77*F77</f>
        <v>78.266155</v>
      </c>
    </row>
    <row r="78" spans="2:7" ht="12">
      <c r="B78" s="26">
        <v>72</v>
      </c>
      <c r="C78" s="7" t="s">
        <v>217</v>
      </c>
      <c r="D78" s="7" t="s">
        <v>194</v>
      </c>
      <c r="E78" s="12">
        <v>10</v>
      </c>
      <c r="F78" s="14">
        <v>234.2035</v>
      </c>
      <c r="G78" s="32">
        <f t="shared" si="2"/>
        <v>2342.035</v>
      </c>
    </row>
    <row r="79" spans="2:7" ht="12">
      <c r="B79" s="26">
        <v>73</v>
      </c>
      <c r="C79" s="7" t="s">
        <v>218</v>
      </c>
      <c r="D79" s="7" t="s">
        <v>192</v>
      </c>
      <c r="E79" s="12">
        <v>1</v>
      </c>
      <c r="F79" s="14">
        <v>94.6426</v>
      </c>
      <c r="G79" s="32">
        <f t="shared" si="2"/>
        <v>94.6426</v>
      </c>
    </row>
    <row r="80" spans="2:7" ht="24">
      <c r="B80" s="26">
        <v>74</v>
      </c>
      <c r="C80" s="7" t="s">
        <v>219</v>
      </c>
      <c r="D80" s="7" t="s">
        <v>185</v>
      </c>
      <c r="E80" s="12">
        <v>40</v>
      </c>
      <c r="F80" s="14">
        <v>214.19629999999998</v>
      </c>
      <c r="G80" s="32">
        <f t="shared" si="2"/>
        <v>8567.851999999999</v>
      </c>
    </row>
    <row r="81" spans="2:7" ht="12">
      <c r="B81" s="26">
        <v>75</v>
      </c>
      <c r="C81" s="7" t="s">
        <v>220</v>
      </c>
      <c r="D81" s="7" t="s">
        <v>180</v>
      </c>
      <c r="E81" s="12">
        <v>1.55</v>
      </c>
      <c r="F81" s="14">
        <v>7087.0611</v>
      </c>
      <c r="G81" s="32">
        <f t="shared" si="2"/>
        <v>10984.944705</v>
      </c>
    </row>
    <row r="82" spans="2:7" ht="24">
      <c r="B82" s="26">
        <v>76</v>
      </c>
      <c r="C82" s="7" t="s">
        <v>221</v>
      </c>
      <c r="D82" s="7" t="s">
        <v>180</v>
      </c>
      <c r="E82" s="12">
        <v>13.1</v>
      </c>
      <c r="F82" s="14">
        <v>8297.5501</v>
      </c>
      <c r="G82" s="32">
        <f t="shared" si="2"/>
        <v>108697.90631</v>
      </c>
    </row>
    <row r="83" spans="2:7" ht="12">
      <c r="B83" s="26">
        <v>77</v>
      </c>
      <c r="C83" s="7" t="s">
        <v>222</v>
      </c>
      <c r="D83" s="7" t="s">
        <v>177</v>
      </c>
      <c r="E83" s="12">
        <v>0.0042</v>
      </c>
      <c r="F83" s="14">
        <v>55618.8145</v>
      </c>
      <c r="G83" s="32">
        <f t="shared" si="2"/>
        <v>233.5990209</v>
      </c>
    </row>
    <row r="84" spans="2:7" ht="12">
      <c r="B84" s="26">
        <v>78</v>
      </c>
      <c r="C84" s="7" t="s">
        <v>223</v>
      </c>
      <c r="D84" s="7" t="s">
        <v>206</v>
      </c>
      <c r="E84" s="12">
        <v>0.00744</v>
      </c>
      <c r="F84" s="30">
        <v>3517</v>
      </c>
      <c r="G84" s="32">
        <f t="shared" si="2"/>
        <v>26.16648</v>
      </c>
    </row>
    <row r="85" spans="2:7" ht="12">
      <c r="B85" s="26">
        <v>79</v>
      </c>
      <c r="C85" s="7" t="s">
        <v>224</v>
      </c>
      <c r="D85" s="7" t="s">
        <v>185</v>
      </c>
      <c r="E85" s="12">
        <v>40.4</v>
      </c>
      <c r="F85" s="30">
        <v>90</v>
      </c>
      <c r="G85" s="32">
        <f t="shared" si="2"/>
        <v>3636</v>
      </c>
    </row>
    <row r="86" spans="2:7" ht="12">
      <c r="B86" s="26">
        <v>80</v>
      </c>
      <c r="C86" s="7" t="s">
        <v>225</v>
      </c>
      <c r="D86" s="7" t="s">
        <v>185</v>
      </c>
      <c r="E86" s="12">
        <v>1.05</v>
      </c>
      <c r="F86" s="14">
        <v>65.1569</v>
      </c>
      <c r="G86" s="32">
        <f t="shared" si="2"/>
        <v>68.414745</v>
      </c>
    </row>
    <row r="87" spans="2:7" ht="12">
      <c r="B87" s="26">
        <v>81</v>
      </c>
      <c r="C87" s="7" t="s">
        <v>226</v>
      </c>
      <c r="D87" s="7" t="s">
        <v>200</v>
      </c>
      <c r="E87" s="12">
        <v>220</v>
      </c>
      <c r="F87" s="14">
        <v>2.492</v>
      </c>
      <c r="G87" s="32">
        <f t="shared" si="2"/>
        <v>548.24</v>
      </c>
    </row>
    <row r="88" spans="2:7" ht="12">
      <c r="B88" s="26">
        <v>82</v>
      </c>
      <c r="C88" s="7" t="s">
        <v>227</v>
      </c>
      <c r="D88" s="7" t="s">
        <v>177</v>
      </c>
      <c r="E88" s="12">
        <v>0.02608</v>
      </c>
      <c r="F88" s="14">
        <v>75559.79849999999</v>
      </c>
      <c r="G88" s="32">
        <f t="shared" si="2"/>
        <v>1970.5995448799997</v>
      </c>
    </row>
    <row r="89" spans="2:7" ht="12">
      <c r="B89" s="26">
        <v>83</v>
      </c>
      <c r="C89" s="7" t="s">
        <v>228</v>
      </c>
      <c r="D89" s="7" t="s">
        <v>185</v>
      </c>
      <c r="E89" s="12">
        <v>11.5596</v>
      </c>
      <c r="F89" s="14">
        <v>187.434</v>
      </c>
      <c r="G89" s="32">
        <f t="shared" si="2"/>
        <v>2166.6620663999997</v>
      </c>
    </row>
    <row r="90" spans="2:7" ht="12">
      <c r="B90" s="26">
        <v>84</v>
      </c>
      <c r="C90" s="7" t="s">
        <v>229</v>
      </c>
      <c r="D90" s="7" t="s">
        <v>185</v>
      </c>
      <c r="E90" s="12">
        <v>84.8</v>
      </c>
      <c r="F90" s="14">
        <v>50.7033</v>
      </c>
      <c r="G90" s="32">
        <f t="shared" si="2"/>
        <v>4299.63984</v>
      </c>
    </row>
    <row r="91" spans="2:7" ht="12">
      <c r="B91" s="26">
        <v>85</v>
      </c>
      <c r="C91" s="7" t="s">
        <v>230</v>
      </c>
      <c r="D91" s="7" t="s">
        <v>177</v>
      </c>
      <c r="E91" s="12">
        <v>0.0473</v>
      </c>
      <c r="F91" s="14">
        <v>4837.2123</v>
      </c>
      <c r="G91" s="32">
        <f t="shared" si="2"/>
        <v>228.80014179000003</v>
      </c>
    </row>
    <row r="92" spans="2:7" ht="12">
      <c r="B92" s="26">
        <v>86</v>
      </c>
      <c r="C92" s="7" t="s">
        <v>231</v>
      </c>
      <c r="D92" s="7" t="s">
        <v>192</v>
      </c>
      <c r="E92" s="12">
        <v>100</v>
      </c>
      <c r="F92" s="14">
        <v>28.0884</v>
      </c>
      <c r="G92" s="32">
        <f t="shared" si="2"/>
        <v>2808.84</v>
      </c>
    </row>
    <row r="93" spans="2:7" ht="24">
      <c r="B93" s="26">
        <v>87</v>
      </c>
      <c r="C93" s="7" t="s">
        <v>232</v>
      </c>
      <c r="D93" s="7" t="s">
        <v>180</v>
      </c>
      <c r="E93" s="12">
        <v>0.00088</v>
      </c>
      <c r="F93" s="14">
        <v>687.4004</v>
      </c>
      <c r="G93" s="32">
        <f t="shared" si="2"/>
        <v>0.604912352</v>
      </c>
    </row>
    <row r="94" spans="2:7" ht="12">
      <c r="B94" s="26">
        <v>88</v>
      </c>
      <c r="C94" s="7" t="s">
        <v>233</v>
      </c>
      <c r="D94" s="7" t="s">
        <v>180</v>
      </c>
      <c r="E94" s="12">
        <v>0.104</v>
      </c>
      <c r="F94" s="14">
        <v>916.5576</v>
      </c>
      <c r="G94" s="32">
        <f t="shared" si="2"/>
        <v>95.32199039999999</v>
      </c>
    </row>
    <row r="95" spans="2:7" ht="12">
      <c r="B95" s="26">
        <v>89</v>
      </c>
      <c r="C95" s="7" t="s">
        <v>234</v>
      </c>
      <c r="D95" s="7" t="s">
        <v>185</v>
      </c>
      <c r="E95" s="12">
        <v>0.52</v>
      </c>
      <c r="F95" s="14">
        <v>287.9862</v>
      </c>
      <c r="G95" s="32">
        <f t="shared" si="2"/>
        <v>149.752824</v>
      </c>
    </row>
    <row r="96" spans="2:7" ht="12">
      <c r="B96" s="26">
        <v>90</v>
      </c>
      <c r="C96" s="7" t="s">
        <v>235</v>
      </c>
      <c r="D96" s="7" t="s">
        <v>180</v>
      </c>
      <c r="E96" s="12">
        <v>6.18</v>
      </c>
      <c r="F96" s="14">
        <v>1412.0294999999999</v>
      </c>
      <c r="G96" s="32">
        <f t="shared" si="2"/>
        <v>8726.342309999998</v>
      </c>
    </row>
    <row r="97" spans="2:7" ht="12">
      <c r="B97" s="26">
        <v>91</v>
      </c>
      <c r="C97" s="7" t="s">
        <v>236</v>
      </c>
      <c r="D97" s="7" t="s">
        <v>177</v>
      </c>
      <c r="E97" s="12">
        <v>0.9</v>
      </c>
      <c r="F97" s="14">
        <v>4146.6613</v>
      </c>
      <c r="G97" s="32">
        <f t="shared" si="2"/>
        <v>3731.9951699999997</v>
      </c>
    </row>
    <row r="98" spans="2:7" ht="36">
      <c r="B98" s="26">
        <v>92</v>
      </c>
      <c r="C98" s="7" t="s">
        <v>237</v>
      </c>
      <c r="D98" s="7" t="s">
        <v>238</v>
      </c>
      <c r="E98" s="12">
        <v>0.204</v>
      </c>
      <c r="F98" s="14">
        <v>38846.4441</v>
      </c>
      <c r="G98" s="32">
        <f t="shared" si="2"/>
        <v>7924.674596399999</v>
      </c>
    </row>
    <row r="99" spans="2:7" ht="24">
      <c r="B99" s="26">
        <v>93</v>
      </c>
      <c r="C99" s="7" t="s">
        <v>239</v>
      </c>
      <c r="D99" s="7" t="s">
        <v>177</v>
      </c>
      <c r="E99" s="12">
        <v>0.00224</v>
      </c>
      <c r="F99" s="14">
        <v>43925.9945</v>
      </c>
      <c r="G99" s="32">
        <f t="shared" si="2"/>
        <v>98.39422767999999</v>
      </c>
    </row>
    <row r="100" spans="2:7" ht="12">
      <c r="B100" s="26">
        <v>94</v>
      </c>
      <c r="C100" s="7" t="s">
        <v>240</v>
      </c>
      <c r="D100" s="7" t="s">
        <v>206</v>
      </c>
      <c r="E100" s="12">
        <v>0.05</v>
      </c>
      <c r="F100" s="14">
        <v>22370.7107</v>
      </c>
      <c r="G100" s="32">
        <f t="shared" si="2"/>
        <v>1118.535535</v>
      </c>
    </row>
    <row r="101" spans="2:7" ht="12">
      <c r="B101" s="26">
        <v>95</v>
      </c>
      <c r="C101" s="7" t="s">
        <v>241</v>
      </c>
      <c r="D101" s="7" t="s">
        <v>180</v>
      </c>
      <c r="E101" s="12">
        <v>36.1</v>
      </c>
      <c r="F101" s="14">
        <v>4113.927100000001</v>
      </c>
      <c r="G101" s="32">
        <f t="shared" si="2"/>
        <v>148512.76831000004</v>
      </c>
    </row>
    <row r="102" spans="2:7" ht="12">
      <c r="B102" s="26">
        <v>96</v>
      </c>
      <c r="C102" s="7" t="s">
        <v>242</v>
      </c>
      <c r="D102" s="7" t="s">
        <v>180</v>
      </c>
      <c r="E102" s="12">
        <v>0.11</v>
      </c>
      <c r="F102" s="14">
        <v>2870.2144000000003</v>
      </c>
      <c r="G102" s="32">
        <f t="shared" si="2"/>
        <v>315.723584</v>
      </c>
    </row>
    <row r="103" spans="2:7" ht="12">
      <c r="B103" s="26">
        <v>97</v>
      </c>
      <c r="C103" s="7" t="s">
        <v>243</v>
      </c>
      <c r="D103" s="7" t="s">
        <v>180</v>
      </c>
      <c r="E103" s="12">
        <v>0.74</v>
      </c>
      <c r="F103" s="14">
        <v>2794.2974</v>
      </c>
      <c r="G103" s="32">
        <f t="shared" si="2"/>
        <v>2067.780076</v>
      </c>
    </row>
    <row r="104" spans="2:7" ht="12">
      <c r="B104" s="26">
        <v>98</v>
      </c>
      <c r="C104" s="7" t="s">
        <v>244</v>
      </c>
      <c r="D104" s="7" t="s">
        <v>180</v>
      </c>
      <c r="E104" s="12">
        <v>0.2</v>
      </c>
      <c r="F104" s="14">
        <v>3761.7986</v>
      </c>
      <c r="G104" s="32">
        <f t="shared" si="2"/>
        <v>752.35972</v>
      </c>
    </row>
    <row r="105" spans="2:7" ht="12">
      <c r="B105" s="26">
        <v>99</v>
      </c>
      <c r="C105" s="7" t="s">
        <v>245</v>
      </c>
      <c r="D105" s="7" t="s">
        <v>180</v>
      </c>
      <c r="E105" s="12">
        <v>2.11</v>
      </c>
      <c r="F105" s="14">
        <v>3407.9791</v>
      </c>
      <c r="G105" s="32">
        <f t="shared" si="2"/>
        <v>7190.8359009999995</v>
      </c>
    </row>
    <row r="106" spans="2:7" ht="12">
      <c r="B106" s="26">
        <v>100</v>
      </c>
      <c r="C106" s="7" t="s">
        <v>246</v>
      </c>
      <c r="D106" s="7" t="s">
        <v>180</v>
      </c>
      <c r="E106" s="12">
        <v>2.374</v>
      </c>
      <c r="F106" s="14">
        <v>2904.7286</v>
      </c>
      <c r="G106" s="32">
        <f t="shared" si="2"/>
        <v>6895.8256964</v>
      </c>
    </row>
    <row r="107" spans="2:7" ht="24">
      <c r="B107" s="26">
        <v>101</v>
      </c>
      <c r="C107" s="7" t="s">
        <v>247</v>
      </c>
      <c r="D107" s="7" t="s">
        <v>192</v>
      </c>
      <c r="E107" s="12">
        <v>100</v>
      </c>
      <c r="F107" s="14">
        <v>157.29860000000002</v>
      </c>
      <c r="G107" s="32">
        <f t="shared" si="2"/>
        <v>15729.860000000002</v>
      </c>
    </row>
    <row r="108" spans="2:7" ht="12">
      <c r="B108" s="26">
        <v>102</v>
      </c>
      <c r="C108" s="7" t="s">
        <v>248</v>
      </c>
      <c r="D108" s="7" t="s">
        <v>249</v>
      </c>
      <c r="E108" s="12">
        <v>320</v>
      </c>
      <c r="F108" s="14">
        <v>19.6067</v>
      </c>
      <c r="G108" s="32">
        <f t="shared" si="2"/>
        <v>6274.144</v>
      </c>
    </row>
    <row r="109" spans="2:7" ht="24">
      <c r="B109" s="26">
        <v>103</v>
      </c>
      <c r="C109" s="7" t="s">
        <v>250</v>
      </c>
      <c r="D109" s="7" t="s">
        <v>189</v>
      </c>
      <c r="E109" s="12">
        <v>12.06896552</v>
      </c>
      <c r="F109" s="14">
        <v>151.0508</v>
      </c>
      <c r="G109" s="32">
        <f aca="true" t="shared" si="3" ref="G109:G123">E109*F109</f>
        <v>1823.0268969684162</v>
      </c>
    </row>
    <row r="110" spans="2:7" ht="12">
      <c r="B110" s="26">
        <v>104</v>
      </c>
      <c r="C110" s="7" t="s">
        <v>251</v>
      </c>
      <c r="D110" s="7" t="s">
        <v>189</v>
      </c>
      <c r="E110" s="12">
        <v>108</v>
      </c>
      <c r="F110" s="14">
        <v>139.018</v>
      </c>
      <c r="G110" s="32">
        <f t="shared" si="3"/>
        <v>15013.944</v>
      </c>
    </row>
    <row r="111" spans="2:7" ht="12">
      <c r="B111" s="26">
        <v>105</v>
      </c>
      <c r="C111" s="7" t="s">
        <v>252</v>
      </c>
      <c r="D111" s="7" t="s">
        <v>21</v>
      </c>
      <c r="E111" s="12">
        <v>0.122</v>
      </c>
      <c r="F111" s="14">
        <v>1475.6200000000001</v>
      </c>
      <c r="G111" s="32">
        <f t="shared" si="3"/>
        <v>180.02564</v>
      </c>
    </row>
    <row r="112" spans="2:7" ht="12">
      <c r="B112" s="26">
        <v>106</v>
      </c>
      <c r="C112" s="7" t="s">
        <v>253</v>
      </c>
      <c r="D112" s="7" t="s">
        <v>177</v>
      </c>
      <c r="E112" s="12">
        <v>0.0008</v>
      </c>
      <c r="F112" s="14">
        <v>66844.7405</v>
      </c>
      <c r="G112" s="32">
        <f t="shared" si="3"/>
        <v>53.4757924</v>
      </c>
    </row>
    <row r="113" spans="2:7" ht="12">
      <c r="B113" s="26">
        <v>107</v>
      </c>
      <c r="C113" s="7" t="s">
        <v>254</v>
      </c>
      <c r="D113" s="7" t="s">
        <v>177</v>
      </c>
      <c r="E113" s="12">
        <v>0.0282</v>
      </c>
      <c r="F113" s="14">
        <v>35572.8817</v>
      </c>
      <c r="G113" s="32">
        <f t="shared" si="3"/>
        <v>1003.1552639399999</v>
      </c>
    </row>
    <row r="114" spans="2:7" ht="12">
      <c r="B114" s="26">
        <v>108</v>
      </c>
      <c r="C114" s="7" t="s">
        <v>255</v>
      </c>
      <c r="D114" s="7" t="s">
        <v>177</v>
      </c>
      <c r="E114" s="12">
        <v>0.0022</v>
      </c>
      <c r="F114" s="14">
        <v>11398.9954</v>
      </c>
      <c r="G114" s="32">
        <f t="shared" si="3"/>
        <v>25.07778988</v>
      </c>
    </row>
    <row r="115" spans="2:7" ht="12">
      <c r="B115" s="26">
        <v>109</v>
      </c>
      <c r="C115" s="7" t="s">
        <v>256</v>
      </c>
      <c r="D115" s="7" t="s">
        <v>257</v>
      </c>
      <c r="E115" s="12">
        <v>13.261</v>
      </c>
      <c r="F115" s="14">
        <v>422.1092</v>
      </c>
      <c r="G115" s="32">
        <f t="shared" si="3"/>
        <v>5597.5901011999995</v>
      </c>
    </row>
    <row r="116" spans="2:7" ht="12">
      <c r="B116" s="26">
        <v>110</v>
      </c>
      <c r="C116" s="7" t="s">
        <v>258</v>
      </c>
      <c r="D116" s="7" t="s">
        <v>189</v>
      </c>
      <c r="E116" s="12">
        <v>19.68</v>
      </c>
      <c r="F116" s="14">
        <v>21.084100000000003</v>
      </c>
      <c r="G116" s="32">
        <f t="shared" si="3"/>
        <v>414.93508800000006</v>
      </c>
    </row>
    <row r="117" spans="2:7" ht="12">
      <c r="B117" s="26">
        <v>111</v>
      </c>
      <c r="C117" s="7" t="s">
        <v>259</v>
      </c>
      <c r="D117" s="7" t="s">
        <v>189</v>
      </c>
      <c r="E117" s="12">
        <v>0.32</v>
      </c>
      <c r="F117" s="14">
        <v>247.5268</v>
      </c>
      <c r="G117" s="32">
        <f t="shared" si="3"/>
        <v>79.20857600000001</v>
      </c>
    </row>
    <row r="118" spans="2:7" ht="12">
      <c r="B118" s="26">
        <v>112</v>
      </c>
      <c r="C118" s="7" t="s">
        <v>260</v>
      </c>
      <c r="D118" s="7" t="s">
        <v>185</v>
      </c>
      <c r="E118" s="12">
        <v>5.74</v>
      </c>
      <c r="F118" s="14">
        <v>73.3004</v>
      </c>
      <c r="G118" s="32">
        <f t="shared" si="3"/>
        <v>420.744296</v>
      </c>
    </row>
    <row r="119" spans="2:7" ht="12">
      <c r="B119" s="26">
        <v>113</v>
      </c>
      <c r="C119" s="7" t="s">
        <v>261</v>
      </c>
      <c r="D119" s="7" t="s">
        <v>177</v>
      </c>
      <c r="E119" s="12">
        <v>0.005</v>
      </c>
      <c r="F119" s="14">
        <v>15807.619299999998</v>
      </c>
      <c r="G119" s="32">
        <f t="shared" si="3"/>
        <v>79.0380965</v>
      </c>
    </row>
    <row r="120" spans="2:7" ht="12">
      <c r="B120" s="26">
        <v>114</v>
      </c>
      <c r="C120" s="7" t="s">
        <v>262</v>
      </c>
      <c r="D120" s="7" t="s">
        <v>177</v>
      </c>
      <c r="E120" s="12">
        <v>0.0155</v>
      </c>
      <c r="F120" s="14">
        <v>13658.5897</v>
      </c>
      <c r="G120" s="32">
        <f t="shared" si="3"/>
        <v>211.70814035</v>
      </c>
    </row>
    <row r="121" spans="2:7" ht="12">
      <c r="B121" s="26">
        <v>115</v>
      </c>
      <c r="C121" s="7" t="s">
        <v>263</v>
      </c>
      <c r="D121" s="7" t="s">
        <v>177</v>
      </c>
      <c r="E121" s="12">
        <v>0.0008</v>
      </c>
      <c r="F121" s="14">
        <v>60520.6586</v>
      </c>
      <c r="G121" s="32">
        <f t="shared" si="3"/>
        <v>48.416526880000006</v>
      </c>
    </row>
    <row r="122" spans="2:7" ht="24">
      <c r="B122" s="26">
        <v>116</v>
      </c>
      <c r="C122" s="7" t="s">
        <v>264</v>
      </c>
      <c r="D122" s="7" t="s">
        <v>180</v>
      </c>
      <c r="E122" s="12">
        <v>4</v>
      </c>
      <c r="F122" s="14">
        <v>1116.5939999999998</v>
      </c>
      <c r="G122" s="32">
        <f t="shared" si="3"/>
        <v>4466.375999999999</v>
      </c>
    </row>
    <row r="123" spans="2:7" ht="12">
      <c r="B123" s="26">
        <v>117</v>
      </c>
      <c r="C123" s="7" t="s">
        <v>265</v>
      </c>
      <c r="D123" s="7" t="s">
        <v>189</v>
      </c>
      <c r="E123" s="12">
        <v>11.84</v>
      </c>
      <c r="F123" s="14">
        <v>542.0367</v>
      </c>
      <c r="G123" s="32">
        <f t="shared" si="3"/>
        <v>6417.7145279999995</v>
      </c>
    </row>
    <row r="124" spans="2:7" ht="12">
      <c r="B124" s="54" t="s">
        <v>174</v>
      </c>
      <c r="C124" s="55"/>
      <c r="D124" s="55"/>
      <c r="E124" s="55"/>
      <c r="F124" s="56"/>
      <c r="G124" s="33">
        <f>SUM(G45:G123)</f>
        <v>475217.0649725137</v>
      </c>
    </row>
    <row r="125" spans="2:7" ht="16.5">
      <c r="B125" s="57" t="s">
        <v>266</v>
      </c>
      <c r="C125" s="57"/>
      <c r="D125" s="57"/>
      <c r="E125" s="57"/>
      <c r="F125" s="57"/>
      <c r="G125" s="57"/>
    </row>
    <row r="126" spans="2:7" ht="12">
      <c r="B126" s="25">
        <v>118</v>
      </c>
      <c r="C126" s="27" t="s">
        <v>267</v>
      </c>
      <c r="D126" s="27" t="s">
        <v>192</v>
      </c>
      <c r="E126" s="28">
        <v>0.624</v>
      </c>
      <c r="F126" s="29">
        <v>120</v>
      </c>
      <c r="G126" s="31">
        <f aca="true" t="shared" si="4" ref="G126:G135">E126*F126</f>
        <v>74.88</v>
      </c>
    </row>
    <row r="127" spans="2:7" ht="12">
      <c r="B127" s="26">
        <v>119</v>
      </c>
      <c r="C127" s="7" t="s">
        <v>268</v>
      </c>
      <c r="D127" s="7" t="s">
        <v>192</v>
      </c>
      <c r="E127" s="12">
        <v>5.04</v>
      </c>
      <c r="F127" s="30">
        <v>100</v>
      </c>
      <c r="G127" s="32">
        <f t="shared" si="4"/>
        <v>504</v>
      </c>
    </row>
    <row r="128" spans="2:7" ht="12">
      <c r="B128" s="26">
        <v>120</v>
      </c>
      <c r="C128" s="7" t="s">
        <v>269</v>
      </c>
      <c r="D128" s="7" t="s">
        <v>192</v>
      </c>
      <c r="E128" s="12">
        <v>0.07</v>
      </c>
      <c r="F128" s="30">
        <v>227.5</v>
      </c>
      <c r="G128" s="32">
        <f t="shared" si="4"/>
        <v>15.925</v>
      </c>
    </row>
    <row r="129" spans="2:7" ht="12">
      <c r="B129" s="26">
        <v>121</v>
      </c>
      <c r="C129" s="7" t="s">
        <v>270</v>
      </c>
      <c r="D129" s="7" t="s">
        <v>192</v>
      </c>
      <c r="E129" s="12">
        <v>1.2</v>
      </c>
      <c r="F129" s="30">
        <v>250</v>
      </c>
      <c r="G129" s="32">
        <f t="shared" si="4"/>
        <v>300</v>
      </c>
    </row>
    <row r="130" spans="2:7" ht="12">
      <c r="B130" s="26">
        <v>122</v>
      </c>
      <c r="C130" s="7" t="s">
        <v>271</v>
      </c>
      <c r="D130" s="7" t="s">
        <v>192</v>
      </c>
      <c r="E130" s="12">
        <v>201.336</v>
      </c>
      <c r="F130" s="30">
        <v>120</v>
      </c>
      <c r="G130" s="32">
        <f t="shared" si="4"/>
        <v>24160.32</v>
      </c>
    </row>
    <row r="131" spans="2:7" ht="12">
      <c r="B131" s="26">
        <v>123</v>
      </c>
      <c r="C131" s="7" t="s">
        <v>272</v>
      </c>
      <c r="D131" s="7" t="s">
        <v>192</v>
      </c>
      <c r="E131" s="12">
        <v>1.219</v>
      </c>
      <c r="F131" s="30">
        <v>643.5</v>
      </c>
      <c r="G131" s="32">
        <f t="shared" si="4"/>
        <v>784.4265</v>
      </c>
    </row>
    <row r="132" spans="2:7" ht="12">
      <c r="B132" s="26">
        <v>124</v>
      </c>
      <c r="C132" s="7" t="s">
        <v>273</v>
      </c>
      <c r="D132" s="7" t="s">
        <v>192</v>
      </c>
      <c r="E132" s="12">
        <v>0.216</v>
      </c>
      <c r="F132" s="30">
        <v>90</v>
      </c>
      <c r="G132" s="32">
        <f t="shared" si="4"/>
        <v>19.44</v>
      </c>
    </row>
    <row r="133" spans="2:7" ht="12">
      <c r="B133" s="26">
        <v>125</v>
      </c>
      <c r="C133" s="7" t="s">
        <v>274</v>
      </c>
      <c r="D133" s="7" t="s">
        <v>192</v>
      </c>
      <c r="E133" s="12">
        <v>0.032</v>
      </c>
      <c r="F133" s="30">
        <v>2906</v>
      </c>
      <c r="G133" s="32">
        <f t="shared" si="4"/>
        <v>92.992</v>
      </c>
    </row>
    <row r="134" spans="2:7" ht="12">
      <c r="B134" s="26">
        <v>126</v>
      </c>
      <c r="C134" s="7" t="s">
        <v>275</v>
      </c>
      <c r="D134" s="7" t="s">
        <v>192</v>
      </c>
      <c r="E134" s="12">
        <v>0.192</v>
      </c>
      <c r="F134" s="30">
        <v>166</v>
      </c>
      <c r="G134" s="32">
        <f t="shared" si="4"/>
        <v>31.872</v>
      </c>
    </row>
    <row r="135" spans="2:7" ht="12">
      <c r="B135" s="26">
        <v>127</v>
      </c>
      <c r="C135" s="7" t="s">
        <v>276</v>
      </c>
      <c r="D135" s="7" t="s">
        <v>192</v>
      </c>
      <c r="E135" s="12">
        <v>0.192</v>
      </c>
      <c r="F135" s="30">
        <v>294</v>
      </c>
      <c r="G135" s="32">
        <f t="shared" si="4"/>
        <v>56.448</v>
      </c>
    </row>
    <row r="136" spans="2:7" ht="12">
      <c r="B136" s="54" t="s">
        <v>174</v>
      </c>
      <c r="C136" s="55"/>
      <c r="D136" s="55"/>
      <c r="E136" s="55"/>
      <c r="F136" s="56"/>
      <c r="G136" s="33">
        <f>SUM(G126:G135)</f>
        <v>26040.303499999998</v>
      </c>
    </row>
    <row r="137" spans="2:7" ht="16.5">
      <c r="B137" s="57" t="s">
        <v>277</v>
      </c>
      <c r="C137" s="57"/>
      <c r="D137" s="57"/>
      <c r="E137" s="57"/>
      <c r="F137" s="57"/>
      <c r="G137" s="57"/>
    </row>
    <row r="138" spans="2:7" ht="12">
      <c r="B138" s="25">
        <v>128</v>
      </c>
      <c r="C138" s="27" t="s">
        <v>278</v>
      </c>
      <c r="D138" s="27" t="s">
        <v>279</v>
      </c>
      <c r="E138" s="28">
        <v>0.332</v>
      </c>
      <c r="F138" s="34">
        <v>1636.8972</v>
      </c>
      <c r="G138" s="31">
        <f aca="true" t="shared" si="5" ref="G138:G145">E138*F138</f>
        <v>543.4498704</v>
      </c>
    </row>
    <row r="139" spans="2:7" ht="12">
      <c r="B139" s="26">
        <v>129</v>
      </c>
      <c r="C139" s="7" t="s">
        <v>280</v>
      </c>
      <c r="D139" s="7" t="s">
        <v>279</v>
      </c>
      <c r="E139" s="12">
        <v>0.732</v>
      </c>
      <c r="F139" s="14">
        <v>44.885</v>
      </c>
      <c r="G139" s="32">
        <f t="shared" si="5"/>
        <v>32.85582</v>
      </c>
    </row>
    <row r="140" spans="2:7" ht="24">
      <c r="B140" s="26">
        <v>130</v>
      </c>
      <c r="C140" s="7" t="s">
        <v>281</v>
      </c>
      <c r="D140" s="7" t="s">
        <v>279</v>
      </c>
      <c r="E140" s="12">
        <v>3</v>
      </c>
      <c r="F140" s="14">
        <v>689.3113999999999</v>
      </c>
      <c r="G140" s="32">
        <f t="shared" si="5"/>
        <v>2067.9341999999997</v>
      </c>
    </row>
    <row r="141" spans="2:7" ht="12">
      <c r="B141" s="26">
        <v>131</v>
      </c>
      <c r="C141" s="7" t="s">
        <v>282</v>
      </c>
      <c r="D141" s="7" t="s">
        <v>279</v>
      </c>
      <c r="E141" s="12">
        <v>0.188</v>
      </c>
      <c r="F141" s="14">
        <v>1076.8546</v>
      </c>
      <c r="G141" s="32">
        <f t="shared" si="5"/>
        <v>202.4486648</v>
      </c>
    </row>
    <row r="142" spans="2:7" ht="24">
      <c r="B142" s="26">
        <v>132</v>
      </c>
      <c r="C142" s="7" t="s">
        <v>283</v>
      </c>
      <c r="D142" s="7" t="s">
        <v>279</v>
      </c>
      <c r="E142" s="12">
        <v>6</v>
      </c>
      <c r="F142" s="14">
        <v>3.9762</v>
      </c>
      <c r="G142" s="32">
        <f t="shared" si="5"/>
        <v>23.8572</v>
      </c>
    </row>
    <row r="143" spans="2:7" ht="12">
      <c r="B143" s="26">
        <v>133</v>
      </c>
      <c r="C143" s="7" t="s">
        <v>284</v>
      </c>
      <c r="D143" s="7" t="s">
        <v>279</v>
      </c>
      <c r="E143" s="12">
        <v>24.08</v>
      </c>
      <c r="F143" s="14">
        <v>6.4765999999999995</v>
      </c>
      <c r="G143" s="32">
        <f t="shared" si="5"/>
        <v>155.95652799999996</v>
      </c>
    </row>
    <row r="144" spans="2:7" ht="12">
      <c r="B144" s="26">
        <v>134</v>
      </c>
      <c r="C144" s="7" t="s">
        <v>285</v>
      </c>
      <c r="D144" s="7" t="s">
        <v>279</v>
      </c>
      <c r="E144" s="12">
        <v>6.73</v>
      </c>
      <c r="F144" s="14">
        <v>340.10139999999996</v>
      </c>
      <c r="G144" s="32">
        <f t="shared" si="5"/>
        <v>2288.8824219999997</v>
      </c>
    </row>
    <row r="145" spans="2:7" ht="12">
      <c r="B145" s="26">
        <v>135</v>
      </c>
      <c r="C145" s="7" t="s">
        <v>286</v>
      </c>
      <c r="D145" s="7" t="s">
        <v>287</v>
      </c>
      <c r="E145" s="12">
        <v>0.12</v>
      </c>
      <c r="F145" s="14">
        <v>715.4527999999999</v>
      </c>
      <c r="G145" s="32">
        <f t="shared" si="5"/>
        <v>85.85433599999999</v>
      </c>
    </row>
    <row r="146" spans="2:7" ht="12">
      <c r="B146" s="54" t="s">
        <v>174</v>
      </c>
      <c r="C146" s="55"/>
      <c r="D146" s="55"/>
      <c r="E146" s="55"/>
      <c r="F146" s="56"/>
      <c r="G146" s="33">
        <f>SUM(G138:G145)</f>
        <v>5401.2390412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36:F136"/>
    <mergeCell ref="B137:G137"/>
    <mergeCell ref="B146:F146"/>
    <mergeCell ref="B1:G1"/>
    <mergeCell ref="B4:G4"/>
    <mergeCell ref="B43:F43"/>
    <mergeCell ref="B44:G44"/>
    <mergeCell ref="B124:F124"/>
    <mergeCell ref="B125:G125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sishipicina</cp:lastModifiedBy>
  <dcterms:created xsi:type="dcterms:W3CDTF">2021-04-21T14:35:52Z</dcterms:created>
  <dcterms:modified xsi:type="dcterms:W3CDTF">2021-05-04T02:34:01Z</dcterms:modified>
  <cp:category>ÑÐ¼ÐµÑ‚Ð°</cp:category>
  <cp:version/>
  <cp:contentType/>
  <cp:contentStatus/>
</cp:coreProperties>
</file>